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Exler\Dropbox\Research\Regulation_consumer_Lending\Replication Package\JEEA\JEEA replication package_100824\postprocessing\"/>
    </mc:Choice>
  </mc:AlternateContent>
  <xr:revisionPtr revIDLastSave="0" documentId="13_ncr:1_{C67B994F-6608-463C-9C84-E496FEFE0751}" xr6:coauthVersionLast="47" xr6:coauthVersionMax="47" xr10:uidLastSave="{00000000-0000-0000-0000-000000000000}"/>
  <bookViews>
    <workbookView xWindow="38280" yWindow="-120" windowWidth="38640" windowHeight="21240" activeTab="6" xr2:uid="{00000000-000D-0000-FFFF-FFFF00000000}"/>
  </bookViews>
  <sheets>
    <sheet name="output_collect" sheetId="1" r:id="rId1"/>
    <sheet name="readme" sheetId="2" r:id="rId2"/>
    <sheet name="Table3" sheetId="3" r:id="rId3"/>
    <sheet name="Table4" sheetId="4" r:id="rId4"/>
    <sheet name="Table5" sheetId="5" r:id="rId5"/>
    <sheet name="Table6" sheetId="6" r:id="rId6"/>
    <sheet name="Table7" sheetId="7" r:id="rId7"/>
    <sheet name="TableA2-A3" sheetId="9" r:id="rId8"/>
    <sheet name="TableA4-A5" sheetId="8" r:id="rId9"/>
  </sheets>
  <externalReferences>
    <externalReference r:id="rId10"/>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7" l="1"/>
  <c r="E32" i="7"/>
  <c r="E31" i="7"/>
  <c r="E30" i="7"/>
  <c r="E28" i="7"/>
  <c r="E27" i="7"/>
  <c r="E26" i="7"/>
  <c r="E25" i="7"/>
  <c r="E23" i="7"/>
  <c r="E22" i="7"/>
  <c r="E21" i="7"/>
  <c r="E20" i="7"/>
  <c r="E18" i="7"/>
  <c r="E17" i="7"/>
  <c r="E16" i="7"/>
  <c r="E15" i="7"/>
  <c r="E13" i="7"/>
  <c r="E12" i="7"/>
  <c r="E11" i="7"/>
  <c r="E10" i="7"/>
  <c r="E19" i="4"/>
  <c r="F71" i="8"/>
  <c r="E71" i="8"/>
  <c r="D71" i="8"/>
  <c r="C71" i="8"/>
  <c r="B71" i="8"/>
  <c r="F70" i="8"/>
  <c r="E70" i="8"/>
  <c r="D70" i="8"/>
  <c r="C70" i="8"/>
  <c r="B70" i="8"/>
  <c r="F69" i="8"/>
  <c r="E69" i="8"/>
  <c r="D69" i="8"/>
  <c r="C69" i="8"/>
  <c r="B69" i="8"/>
  <c r="F68" i="8"/>
  <c r="E68" i="8"/>
  <c r="D68" i="8"/>
  <c r="C68" i="8"/>
  <c r="B68" i="8"/>
  <c r="F66" i="8"/>
  <c r="E66" i="8"/>
  <c r="D66" i="8"/>
  <c r="C66" i="8"/>
  <c r="F65" i="8"/>
  <c r="E65" i="8"/>
  <c r="D65" i="8"/>
  <c r="C65" i="8"/>
  <c r="F64" i="8"/>
  <c r="E64" i="8"/>
  <c r="D64" i="8"/>
  <c r="C64" i="8"/>
  <c r="F63" i="8"/>
  <c r="E63" i="8"/>
  <c r="D63" i="8"/>
  <c r="C63" i="8"/>
  <c r="F61" i="8"/>
  <c r="E61" i="8"/>
  <c r="D61" i="8"/>
  <c r="C61" i="8"/>
  <c r="B61" i="8"/>
  <c r="F60" i="8"/>
  <c r="E60" i="8"/>
  <c r="D60" i="8"/>
  <c r="C60" i="8"/>
  <c r="B60" i="8"/>
  <c r="F59" i="8"/>
  <c r="E59" i="8"/>
  <c r="D59" i="8"/>
  <c r="C59" i="8"/>
  <c r="B59" i="8"/>
  <c r="F58" i="8"/>
  <c r="E58" i="8"/>
  <c r="D58" i="8"/>
  <c r="C58" i="8"/>
  <c r="B58" i="8"/>
  <c r="F56" i="8"/>
  <c r="E56" i="8"/>
  <c r="D56" i="8"/>
  <c r="C56" i="8"/>
  <c r="B56" i="8"/>
  <c r="F55" i="8"/>
  <c r="E55" i="8"/>
  <c r="D55" i="8"/>
  <c r="C55" i="8"/>
  <c r="B55" i="8"/>
  <c r="F54" i="8"/>
  <c r="E54" i="8"/>
  <c r="D54" i="8"/>
  <c r="C54" i="8"/>
  <c r="B54" i="8"/>
  <c r="F53" i="8"/>
  <c r="E53" i="8"/>
  <c r="D53" i="8"/>
  <c r="C53" i="8"/>
  <c r="B53" i="8"/>
  <c r="F51" i="8"/>
  <c r="E51" i="8"/>
  <c r="D51" i="8"/>
  <c r="C51" i="8"/>
  <c r="B51" i="8"/>
  <c r="F50" i="8"/>
  <c r="E50" i="8"/>
  <c r="D50" i="8"/>
  <c r="C50" i="8"/>
  <c r="B50" i="8"/>
  <c r="F49" i="8"/>
  <c r="E49" i="8"/>
  <c r="D49" i="8"/>
  <c r="C49" i="8"/>
  <c r="B49" i="8"/>
  <c r="F48" i="8"/>
  <c r="E48" i="8"/>
  <c r="D48" i="8"/>
  <c r="C48" i="8"/>
  <c r="B48" i="8"/>
  <c r="F33" i="8"/>
  <c r="E33" i="8"/>
  <c r="D33" i="8"/>
  <c r="C33" i="8"/>
  <c r="B33" i="8"/>
  <c r="F32" i="8"/>
  <c r="E32" i="8"/>
  <c r="D32" i="8"/>
  <c r="C32" i="8"/>
  <c r="B32" i="8"/>
  <c r="F31" i="8"/>
  <c r="E31" i="8"/>
  <c r="D31" i="8"/>
  <c r="C31" i="8"/>
  <c r="B31" i="8"/>
  <c r="F30" i="8"/>
  <c r="E30" i="8"/>
  <c r="D30" i="8"/>
  <c r="C30" i="8"/>
  <c r="B30" i="8"/>
  <c r="F28" i="8"/>
  <c r="E28" i="8"/>
  <c r="D28" i="8"/>
  <c r="C28" i="8"/>
  <c r="F27" i="8"/>
  <c r="E27" i="8"/>
  <c r="D27" i="8"/>
  <c r="C27" i="8"/>
  <c r="F26" i="8"/>
  <c r="E26" i="8"/>
  <c r="D26" i="8"/>
  <c r="C26" i="8"/>
  <c r="F25" i="8"/>
  <c r="E25" i="8"/>
  <c r="D25" i="8"/>
  <c r="C25" i="8"/>
  <c r="F23" i="8"/>
  <c r="E23" i="8"/>
  <c r="D23" i="8"/>
  <c r="C23" i="8"/>
  <c r="B23" i="8"/>
  <c r="F22" i="8"/>
  <c r="E22" i="8"/>
  <c r="D22" i="8"/>
  <c r="C22" i="8"/>
  <c r="B22" i="8"/>
  <c r="F21" i="8"/>
  <c r="E21" i="8"/>
  <c r="D21" i="8"/>
  <c r="C21" i="8"/>
  <c r="B21" i="8"/>
  <c r="F20" i="8"/>
  <c r="E20" i="8"/>
  <c r="D20" i="8"/>
  <c r="C20" i="8"/>
  <c r="B20" i="8"/>
  <c r="F18" i="8"/>
  <c r="E18" i="8"/>
  <c r="D18" i="8"/>
  <c r="C18" i="8"/>
  <c r="B18" i="8"/>
  <c r="F17" i="8"/>
  <c r="E17" i="8"/>
  <c r="D17" i="8"/>
  <c r="C17" i="8"/>
  <c r="B17" i="8"/>
  <c r="F16" i="8"/>
  <c r="E16" i="8"/>
  <c r="D16" i="8"/>
  <c r="C16" i="8"/>
  <c r="B16" i="8"/>
  <c r="F15" i="8"/>
  <c r="E15" i="8"/>
  <c r="D15" i="8"/>
  <c r="C15" i="8"/>
  <c r="B15" i="8"/>
  <c r="F13" i="8"/>
  <c r="E13" i="8"/>
  <c r="D13" i="8"/>
  <c r="C13" i="8"/>
  <c r="B13" i="8"/>
  <c r="F12" i="8"/>
  <c r="E12" i="8"/>
  <c r="D12" i="8"/>
  <c r="C12" i="8"/>
  <c r="B12" i="8"/>
  <c r="F11" i="8"/>
  <c r="E11" i="8"/>
  <c r="D11" i="8"/>
  <c r="C11" i="8"/>
  <c r="B11" i="8"/>
  <c r="F10" i="8"/>
  <c r="E10" i="8"/>
  <c r="D10" i="8"/>
  <c r="C10" i="8"/>
  <c r="B10" i="8"/>
  <c r="E43" i="9"/>
  <c r="D43" i="9"/>
  <c r="C43" i="9"/>
  <c r="B43" i="9"/>
  <c r="E42" i="9"/>
  <c r="D42" i="9"/>
  <c r="C42" i="9"/>
  <c r="B42" i="9"/>
  <c r="E41" i="9"/>
  <c r="D41" i="9"/>
  <c r="C41" i="9"/>
  <c r="B41" i="9"/>
  <c r="E39" i="9"/>
  <c r="D39" i="9"/>
  <c r="C39" i="9"/>
  <c r="B39" i="9"/>
  <c r="E38" i="9"/>
  <c r="D38" i="9"/>
  <c r="C38" i="9"/>
  <c r="B38" i="9"/>
  <c r="E37" i="9"/>
  <c r="D37" i="9"/>
  <c r="C37" i="9"/>
  <c r="B37" i="9"/>
  <c r="E35" i="9"/>
  <c r="D35" i="9"/>
  <c r="C35" i="9"/>
  <c r="B35" i="9"/>
  <c r="E34" i="9"/>
  <c r="D34" i="9"/>
  <c r="C34" i="9"/>
  <c r="B34" i="9"/>
  <c r="E33" i="9"/>
  <c r="D33" i="9"/>
  <c r="C33" i="9"/>
  <c r="B33" i="9"/>
  <c r="F18" i="9"/>
  <c r="E18" i="9"/>
  <c r="D18" i="9"/>
  <c r="C18" i="9"/>
  <c r="B18" i="9"/>
  <c r="F17" i="9"/>
  <c r="E17" i="9"/>
  <c r="D17" i="9"/>
  <c r="C17" i="9"/>
  <c r="E16" i="9"/>
  <c r="D16" i="9"/>
  <c r="C16" i="9"/>
  <c r="B16" i="9"/>
  <c r="F14" i="9"/>
  <c r="E14" i="9"/>
  <c r="D14" i="9"/>
  <c r="C14" i="9"/>
  <c r="B14" i="9"/>
  <c r="F13" i="9"/>
  <c r="E13" i="9"/>
  <c r="D13" i="9"/>
  <c r="C13" i="9"/>
  <c r="E12" i="9"/>
  <c r="D12" i="9"/>
  <c r="C12" i="9"/>
  <c r="B12" i="9"/>
  <c r="F10" i="9"/>
  <c r="E10" i="9"/>
  <c r="D10" i="9"/>
  <c r="C10" i="9"/>
  <c r="B10" i="9"/>
  <c r="F9" i="9"/>
  <c r="E9" i="9"/>
  <c r="D9" i="9"/>
  <c r="C9" i="9"/>
  <c r="E8" i="9"/>
  <c r="D8" i="9"/>
  <c r="C8" i="9"/>
  <c r="B8" i="9"/>
  <c r="D6" i="9"/>
  <c r="E6" i="9" s="1"/>
  <c r="C6" i="9"/>
  <c r="F33" i="7"/>
  <c r="D33" i="7"/>
  <c r="C33" i="7"/>
  <c r="B33" i="7"/>
  <c r="F32" i="7"/>
  <c r="D32" i="7"/>
  <c r="C32" i="7"/>
  <c r="B32" i="7"/>
  <c r="F31" i="7"/>
  <c r="D31" i="7"/>
  <c r="C31" i="7"/>
  <c r="B31" i="7"/>
  <c r="F30" i="7"/>
  <c r="D30" i="7"/>
  <c r="C30" i="7"/>
  <c r="B30" i="7"/>
  <c r="F28" i="7"/>
  <c r="D28" i="7"/>
  <c r="C28" i="7"/>
  <c r="F27" i="7"/>
  <c r="D27" i="7"/>
  <c r="C27" i="7"/>
  <c r="F26" i="7"/>
  <c r="D26" i="7"/>
  <c r="C26" i="7"/>
  <c r="F25" i="7"/>
  <c r="D25" i="7"/>
  <c r="C25" i="7"/>
  <c r="F23" i="7"/>
  <c r="D23" i="7"/>
  <c r="C23" i="7"/>
  <c r="B23" i="7"/>
  <c r="F22" i="7"/>
  <c r="D22" i="7"/>
  <c r="C22" i="7"/>
  <c r="B22" i="7"/>
  <c r="F21" i="7"/>
  <c r="D21" i="7"/>
  <c r="C21" i="7"/>
  <c r="B21" i="7"/>
  <c r="F20" i="7"/>
  <c r="D20" i="7"/>
  <c r="C20" i="7"/>
  <c r="B20" i="7"/>
  <c r="F18" i="7"/>
  <c r="D18" i="7"/>
  <c r="C18" i="7"/>
  <c r="B18" i="7"/>
  <c r="F17" i="7"/>
  <c r="D17" i="7"/>
  <c r="C17" i="7"/>
  <c r="B17" i="7"/>
  <c r="F16" i="7"/>
  <c r="D16" i="7"/>
  <c r="C16" i="7"/>
  <c r="B16" i="7"/>
  <c r="F15" i="7"/>
  <c r="D15" i="7"/>
  <c r="C15" i="7"/>
  <c r="B15" i="7"/>
  <c r="F13" i="7"/>
  <c r="D13" i="7"/>
  <c r="C13" i="7"/>
  <c r="B13" i="7"/>
  <c r="F12" i="7"/>
  <c r="D12" i="7"/>
  <c r="C12" i="7"/>
  <c r="B12" i="7"/>
  <c r="F11" i="7"/>
  <c r="D11" i="7"/>
  <c r="C11" i="7"/>
  <c r="B11" i="7"/>
  <c r="F10" i="7"/>
  <c r="D10" i="7"/>
  <c r="C10" i="7"/>
  <c r="B10" i="7"/>
  <c r="F4" i="7"/>
  <c r="E4" i="7"/>
  <c r="D4" i="7"/>
  <c r="C4" i="7"/>
  <c r="B4" i="7"/>
  <c r="C14" i="6"/>
  <c r="B13" i="6"/>
  <c r="C11" i="6"/>
  <c r="B11" i="6"/>
  <c r="B12" i="6" s="1"/>
  <c r="C10" i="6"/>
  <c r="C12" i="6" s="1"/>
  <c r="B10" i="6"/>
  <c r="C9" i="6"/>
  <c r="C8" i="6"/>
  <c r="P7" i="6"/>
  <c r="C7" i="6"/>
  <c r="C15" i="6" s="1"/>
  <c r="P6" i="6"/>
  <c r="P4" i="6"/>
  <c r="P3" i="6"/>
  <c r="C23" i="5"/>
  <c r="E22" i="5"/>
  <c r="C22" i="5"/>
  <c r="E21" i="5"/>
  <c r="E23" i="5" s="1"/>
  <c r="C21" i="5"/>
  <c r="D19" i="5"/>
  <c r="B19" i="5"/>
  <c r="E18" i="5"/>
  <c r="D18" i="5"/>
  <c r="C18" i="5"/>
  <c r="B18" i="5"/>
  <c r="E17" i="5"/>
  <c r="E19" i="5" s="1"/>
  <c r="D17" i="5"/>
  <c r="C17" i="5"/>
  <c r="C19" i="5" s="1"/>
  <c r="B17" i="5"/>
  <c r="D15" i="5"/>
  <c r="B15" i="5"/>
  <c r="E14" i="5"/>
  <c r="D14" i="5"/>
  <c r="C14" i="5"/>
  <c r="B14" i="5"/>
  <c r="E13" i="5"/>
  <c r="E15" i="5" s="1"/>
  <c r="D13" i="5"/>
  <c r="C13" i="5"/>
  <c r="C15" i="5" s="1"/>
  <c r="B13" i="5"/>
  <c r="D11" i="5"/>
  <c r="B11" i="5"/>
  <c r="E10" i="5"/>
  <c r="D10" i="5"/>
  <c r="C10" i="5"/>
  <c r="B10" i="5"/>
  <c r="E9" i="5"/>
  <c r="E11" i="5" s="1"/>
  <c r="D9" i="5"/>
  <c r="C9" i="5"/>
  <c r="C11" i="5" s="1"/>
  <c r="B9" i="5"/>
  <c r="E17" i="4"/>
  <c r="D17" i="4"/>
  <c r="E16" i="4"/>
  <c r="D16" i="4"/>
  <c r="E15" i="4"/>
  <c r="D15" i="4"/>
  <c r="C15" i="4"/>
  <c r="B15" i="4"/>
  <c r="E14" i="4"/>
  <c r="D14" i="4"/>
  <c r="C14" i="4"/>
  <c r="B14" i="4"/>
  <c r="E13" i="4"/>
  <c r="D13" i="4"/>
  <c r="C13" i="4"/>
  <c r="B13" i="4"/>
  <c r="E12" i="4"/>
  <c r="D12" i="4"/>
  <c r="C12" i="4"/>
  <c r="B12" i="4"/>
  <c r="E11" i="4"/>
  <c r="D11" i="4"/>
  <c r="C11" i="4"/>
  <c r="B11" i="4"/>
  <c r="E10" i="4"/>
  <c r="D10" i="4"/>
  <c r="C10" i="4"/>
  <c r="B10" i="4"/>
  <c r="P3" i="4"/>
  <c r="E13" i="3"/>
  <c r="C13" i="3"/>
  <c r="F13" i="3" s="1"/>
  <c r="E12" i="3"/>
  <c r="C12" i="3"/>
  <c r="F12" i="3" s="1"/>
  <c r="F11" i="3"/>
  <c r="E11" i="3"/>
  <c r="D11" i="3"/>
  <c r="C11" i="3"/>
  <c r="B11" i="3"/>
  <c r="F10" i="3"/>
  <c r="E10" i="3"/>
  <c r="D10" i="3"/>
  <c r="C10" i="3"/>
  <c r="B10" i="3"/>
  <c r="F9" i="3"/>
  <c r="E9" i="3"/>
  <c r="D9" i="3"/>
  <c r="C9" i="3"/>
  <c r="B9" i="3"/>
  <c r="F8" i="3"/>
  <c r="E8" i="3"/>
  <c r="D8" i="3"/>
  <c r="C8" i="3"/>
  <c r="B8" i="3"/>
  <c r="C13" i="6" l="1"/>
  <c r="B14" i="6"/>
  <c r="B15" i="6"/>
</calcChain>
</file>

<file path=xl/sharedStrings.xml><?xml version="1.0" encoding="utf-8"?>
<sst xmlns="http://schemas.openxmlformats.org/spreadsheetml/2006/main" count="363" uniqueCount="159">
  <si>
    <t>date</t>
  </si>
  <si>
    <t>education</t>
  </si>
  <si>
    <t>Input  ID</t>
  </si>
  <si>
    <t xml:space="preserve">Expected Welfare </t>
  </si>
  <si>
    <t>Realists</t>
  </si>
  <si>
    <t>Average</t>
  </si>
  <si>
    <t xml:space="preserve">Bankruptcy filings </t>
  </si>
  <si>
    <t xml:space="preserve">Average borrowing interest rates </t>
  </si>
  <si>
    <t>Debt / Earnings</t>
  </si>
  <si>
    <t>Over-borrowing</t>
  </si>
  <si>
    <t xml:space="preserve">Debt-to-earnings of borrowers </t>
  </si>
  <si>
    <t>Debt-to-earnings of defaulters</t>
  </si>
  <si>
    <t>Total Earnings</t>
  </si>
  <si>
    <t>(Total) Debt</t>
  </si>
  <si>
    <t xml:space="preserve">Fraction of ex-post borrowers </t>
  </si>
  <si>
    <t xml:space="preserve">Fraction of ex-ante borrowers </t>
  </si>
  <si>
    <t xml:space="preserve">Mean Earnings Defaulters </t>
  </si>
  <si>
    <t xml:space="preserve">Savings </t>
  </si>
  <si>
    <t>Fraction in Default after Bankruptcy</t>
  </si>
  <si>
    <t>Bankruptcy Y / Average Y</t>
  </si>
  <si>
    <t>Ex-post debt of bankrupts</t>
  </si>
  <si>
    <t>Average ex-post debt / average Y bankrupts</t>
  </si>
  <si>
    <t>Variance log consumption</t>
  </si>
  <si>
    <t>Variance log income</t>
  </si>
  <si>
    <t>Profits</t>
  </si>
  <si>
    <t>Fraction Repeat Filers</t>
  </si>
  <si>
    <t>Coefficient of Variation of Borrowing Interest Rates</t>
  </si>
  <si>
    <t>Welfare gain from education (in utils)</t>
  </si>
  <si>
    <t>Overborrowing (flow with prices)</t>
  </si>
  <si>
    <t>Overborrowing from not filing (with prices)</t>
  </si>
  <si>
    <t>Expected Welfare</t>
  </si>
  <si>
    <t>(paternalistic)</t>
  </si>
  <si>
    <t>Educated</t>
  </si>
  <si>
    <t>folder name</t>
  </si>
  <si>
    <t>Table 3 Equilibrium Outcomes Across Types</t>
  </si>
  <si>
    <t>experiment no.</t>
  </si>
  <si>
    <t>High School</t>
  </si>
  <si>
    <t>College</t>
  </si>
  <si>
    <t>Aggregate</t>
  </si>
  <si>
    <t>Behavioral</t>
  </si>
  <si>
    <t>Debt-to-earnings</t>
  </si>
  <si>
    <t>Filings</t>
  </si>
  <si>
    <t>Interest Rates</t>
  </si>
  <si>
    <t>Fraction borrowing</t>
  </si>
  <si>
    <t>Filing too late</t>
  </si>
  <si>
    <t>Overborrowing (as share of debt)</t>
  </si>
  <si>
    <t>Additional input</t>
  </si>
  <si>
    <t>share college</t>
  </si>
  <si>
    <t>Table 4 Decomposing Behavioral Consumers in the Benchmark Economy: Beliefs, Extra Risk or Cross-subsidization?</t>
  </si>
  <si>
    <t>share college in overopt</t>
  </si>
  <si>
    <t>(1)</t>
  </si>
  <si>
    <t>(2)</t>
  </si>
  <si>
    <t>(3)</t>
  </si>
  <si>
    <t>(4)</t>
  </si>
  <si>
    <t>Income process</t>
  </si>
  <si>
    <t>Better risk</t>
  </si>
  <si>
    <t>Worse risk</t>
  </si>
  <si>
    <t>Beliefs</t>
  </si>
  <si>
    <t>Realistic</t>
  </si>
  <si>
    <t>Over-optimistic</t>
  </si>
  <si>
    <t>Pricing</t>
  </si>
  <si>
    <t>individual</t>
  </si>
  <si>
    <t>cross-subsidized</t>
  </si>
  <si>
    <t>Interest rates</t>
  </si>
  <si>
    <t>Total borrowers</t>
  </si>
  <si>
    <t>Filings per borrower</t>
  </si>
  <si>
    <t>Overborrowing</t>
  </si>
  <si>
    <t>Benchmark</t>
  </si>
  <si>
    <t>Full Information</t>
  </si>
  <si>
    <t>Debt-to-income</t>
  </si>
  <si>
    <t>Rational</t>
  </si>
  <si>
    <t>Bankruptcy filings</t>
  </si>
  <si>
    <t>Average interest rates</t>
  </si>
  <si>
    <t>Paternalistic Welfare</t>
  </si>
  <si>
    <t>share overopt in highschool</t>
  </si>
  <si>
    <t>share overopt in college</t>
  </si>
  <si>
    <t>Table 5 The Full Information Economy</t>
  </si>
  <si>
    <t>Table 6 Welfare Effects of Financial Literacy Education: Small Scale vs GE</t>
  </si>
  <si>
    <t>Rational, Non-college</t>
  </si>
  <si>
    <t>Rational, College</t>
  </si>
  <si>
    <t>Rational total</t>
  </si>
  <si>
    <t>Behavioral, Non-college</t>
  </si>
  <si>
    <t>Behavioral, College</t>
  </si>
  <si>
    <t>Behavioral total</t>
  </si>
  <si>
    <t>Non-college, total</t>
  </si>
  <si>
    <t>College, total</t>
  </si>
  <si>
    <t>share rational college</t>
  </si>
  <si>
    <t>share behavioral college</t>
  </si>
  <si>
    <t>small scale</t>
  </si>
  <si>
    <t>full GE</t>
  </si>
  <si>
    <t>share rational non-college</t>
  </si>
  <si>
    <t>share behavioral non-college</t>
  </si>
  <si>
    <t>Table 7 Policy Experiments</t>
  </si>
  <si>
    <t>(5)</t>
  </si>
  <si>
    <t>BM</t>
  </si>
  <si>
    <t xml:space="preserve"> Borrow Cost</t>
  </si>
  <si>
    <t>Default Cost</t>
  </si>
  <si>
    <t>Debt-to-Income</t>
  </si>
  <si>
    <t>Parameter</t>
  </si>
  <si>
    <t>$\tau = 8.9\%$</t>
  </si>
  <si>
    <t>$\gamma = 50\%$</t>
  </si>
  <si>
    <t>$\leq 100\%$</t>
  </si>
  <si>
    <t>Financial Mistakes</t>
  </si>
  <si>
    <t>Rational, non-college</t>
  </si>
  <si>
    <t>Behavioral, non-college</t>
  </si>
  <si>
    <t>Rational, college</t>
  </si>
  <si>
    <t>Behavioral, college</t>
  </si>
  <si>
    <t>Filing too late, non-college</t>
  </si>
  <si>
    <t>Overborrowing, non-college</t>
  </si>
  <si>
    <t>Filing too late, college</t>
  </si>
  <si>
    <t>Overborrowing, college</t>
  </si>
  <si>
    <t>$\leq 100\%$ if $s &lt; 0.65$</t>
  </si>
  <si>
    <t>Table A4 Policy Experiments with 50% behavioral</t>
  </si>
  <si>
    <t>Table A5 Policy Experiments with degree of over-opt psi = 2</t>
  </si>
  <si>
    <t>Table A2 Varying the Fraction of Behavioral Agents</t>
  </si>
  <si>
    <t>fraction behavioral in non-college</t>
  </si>
  <si>
    <t>fraction behavioral in college</t>
  </si>
  <si>
    <t>Table A3 Varying the Degree of Over-Optimism</t>
  </si>
  <si>
    <t>Degree of Over-Optimism $\psi$</t>
  </si>
  <si>
    <t>This file contains all tables as found in "CONSUMER CREDIT WITH OVER-OPTIMISTIC BORROWERS" by Exler, Livshits, MacGee, Tertilt.</t>
  </si>
  <si>
    <t>In separate sheets, it calculates the tables from quantitative model output collected in the sheet "ouput_collect." runELMT.m populates this output collection sheet automatically.</t>
  </si>
  <si>
    <t xml:space="preserve">EXAMPLE: </t>
  </si>
  <si>
    <t>C3</t>
  </si>
  <si>
    <t>output_collect!$C$4:$ZZ$58</t>
  </si>
  <si>
    <t>Location of all data</t>
  </si>
  <si>
    <r>
      <t>HLOOKUP(</t>
    </r>
    <r>
      <rPr>
        <sz val="11"/>
        <color rgb="FF00B050"/>
        <rFont val="Calibri"/>
        <family val="2"/>
        <scheme val="minor"/>
      </rPr>
      <t>C3</t>
    </r>
    <r>
      <rPr>
        <sz val="11"/>
        <color theme="1"/>
        <rFont val="Calibri"/>
        <family val="2"/>
        <scheme val="minor"/>
      </rPr>
      <t>;</t>
    </r>
    <r>
      <rPr>
        <sz val="11"/>
        <color theme="2" tint="-0.499984740745262"/>
        <rFont val="Calibri"/>
        <family val="2"/>
        <scheme val="minor"/>
      </rPr>
      <t>output_collect!$C$4:$ZZ$58</t>
    </r>
    <r>
      <rPr>
        <sz val="11"/>
        <color theme="1"/>
        <rFont val="Calibri"/>
        <family val="2"/>
        <scheme val="minor"/>
      </rPr>
      <t>;</t>
    </r>
    <r>
      <rPr>
        <sz val="11"/>
        <color theme="7"/>
        <rFont val="Calibri"/>
        <family val="2"/>
        <scheme val="minor"/>
      </rPr>
      <t>30</t>
    </r>
    <r>
      <rPr>
        <sz val="11"/>
        <color theme="1"/>
        <rFont val="Calibri"/>
        <family val="2"/>
        <scheme val="minor"/>
      </rPr>
      <t>)</t>
    </r>
  </si>
  <si>
    <t>To populate the tables, the relevant experiment numbers are given above each column, and the corresponding output is found through HLOOKUP. The experiment ID identifies the experiment, the row number identifies the type of output (e.g. debt to income, bankruptcy rates, etc.).</t>
  </si>
  <si>
    <t>Frac of Behavioral that WOULD have filed (rel. to all Behavioral)</t>
  </si>
  <si>
    <t>Frac of Behavioral filders that would NOT have filed (rel. to all Behavioral)</t>
  </si>
  <si>
    <t>Fraction Behavioral overborrowing</t>
  </si>
  <si>
    <t>Fraction Behavioral underborrowing</t>
  </si>
  <si>
    <t>EXAMPLE:</t>
  </si>
  <si>
    <t>(1-$P$3)*(Q$5)</t>
  </si>
  <si>
    <t xml:space="preserve"> + HLOOKUP(C4;output_collect!$C$4:$ZZ$59;27)    *</t>
  </si>
  <si>
    <t xml:space="preserve">       ( debt of behavioral non-col </t>
  </si>
  <si>
    <t xml:space="preserve"> ( HLOOKUP(C3;output_collect!$C$4:$ZZ$59;27)   </t>
  </si>
  <si>
    <t>*</t>
  </si>
  <si>
    <t xml:space="preserve">     *</t>
  </si>
  <si>
    <t>( HLOOKUP(C3;output_collect!$C$4:$ZZ$59;24)</t>
  </si>
  <si>
    <t xml:space="preserve">*      share non-col * share behavioral in non-col </t>
  </si>
  <si>
    <t xml:space="preserve"> $P$3*(Q$6)                              )</t>
  </si>
  <si>
    <t>* share col * share behavioral in col   )</t>
  </si>
  <si>
    <t xml:space="preserve"> /</t>
  </si>
  <si>
    <t xml:space="preserve"> +</t>
  </si>
  <si>
    <t xml:space="preserve"> debt of behavioral col </t>
  </si>
  <si>
    <t xml:space="preserve"> (1-$P$3)*(Q$5)    </t>
  </si>
  <si>
    <t>+</t>
  </si>
  <si>
    <t>(             income of behavioral non-col</t>
  </si>
  <si>
    <t>HLOOKUP(C4;output_collect!$C$4:$ZZ$59;24)</t>
  </si>
  <si>
    <t xml:space="preserve">*    $P$3*(Q$6)                        )   </t>
  </si>
  <si>
    <t>to annualize</t>
  </si>
  <si>
    <t xml:space="preserve">      *3</t>
  </si>
  <si>
    <t xml:space="preserve">   =</t>
  </si>
  <si>
    <t>Debt-to-income-ratio of behavioral agents in Table A2, field C3:</t>
  </si>
  <si>
    <t xml:space="preserve">*     share non-col * share behavioral in non-col </t>
  </si>
  <si>
    <t xml:space="preserve">             income of behavioral col </t>
  </si>
  <si>
    <t>When calculating averages, different population groups are weighted appropriately. Share college and/or share behavioral within education group are reported in each sheet when necessary.</t>
  </si>
  <si>
    <t>Which experiment ID is needed? (here: given in cell C3)</t>
  </si>
  <si>
    <t>Which row is needed? Counting starts at row 4, hence 30 implies row 33 in output_collect: "Fraction of ex-post borrowers -- Goofy"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</si>
</sst>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4" x14ac:knownFonts="1">
    <font>
      <sz val="11"/>
      <color theme="1"/>
      <name val="Calibri"/>
      <family val="2"/>
      <scheme val="minor"/>
    </font>
    <font>
      <b/>
      <sz val="11"/>
      <color theme="1"/>
      <name val="Calibri"/>
      <family val="2"/>
      <scheme val="minor"/>
    </font>
    <font>
      <sz val="11"/>
      <color theme="1"/>
      <name val="Calibri"/>
      <family val="2"/>
      <charset val="1"/>
      <scheme val="minor"/>
    </font>
    <font>
      <b/>
      <sz val="11"/>
      <name val="Calibri"/>
      <family val="2"/>
      <scheme val="minor"/>
    </font>
    <font>
      <sz val="11"/>
      <name val="Calibri"/>
      <family val="2"/>
      <scheme val="minor"/>
    </font>
    <font>
      <b/>
      <sz val="9"/>
      <name val="Calibri"/>
      <family val="2"/>
      <scheme val="minor"/>
    </font>
    <font>
      <sz val="11"/>
      <color theme="1"/>
      <name val="Calibri"/>
      <family val="2"/>
      <scheme val="minor"/>
    </font>
    <font>
      <sz val="12"/>
      <color theme="1"/>
      <name val="Arial"/>
      <family val="2"/>
    </font>
    <font>
      <sz val="12"/>
      <name val="Arial"/>
      <family val="2"/>
    </font>
    <font>
      <b/>
      <sz val="12"/>
      <color theme="1"/>
      <name val="Arial"/>
      <family val="2"/>
    </font>
    <font>
      <sz val="11"/>
      <name val="Calibri"/>
      <family val="2"/>
      <charset val="1"/>
      <scheme val="minor"/>
    </font>
    <font>
      <sz val="11"/>
      <color theme="7"/>
      <name val="Calibri"/>
      <family val="2"/>
      <scheme val="minor"/>
    </font>
    <font>
      <sz val="11"/>
      <color theme="2" tint="-0.499984740745262"/>
      <name val="Calibri"/>
      <family val="2"/>
      <scheme val="minor"/>
    </font>
    <font>
      <sz val="11"/>
      <color rgb="FF00B05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9"/>
        <bgColor indexed="64"/>
      </patternFill>
    </fill>
  </fills>
  <borders count="26">
    <border>
      <left/>
      <right/>
      <top/>
      <bottom/>
      <diagonal/>
    </border>
    <border>
      <left/>
      <right style="medium">
        <color indexed="64"/>
      </right>
      <top/>
      <bottom/>
      <diagonal/>
    </border>
    <border>
      <left/>
      <right/>
      <top style="thin">
        <color indexed="64"/>
      </top>
      <bottom style="medium">
        <color indexed="64"/>
      </bottom>
      <diagonal/>
    </border>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9" fontId="2" fillId="0" borderId="3" applyFont="0" applyFill="0" applyBorder="0" applyAlignment="0" applyProtection="0"/>
    <xf numFmtId="0" fontId="2" fillId="0" borderId="10"/>
  </cellStyleXfs>
  <cellXfs count="125">
    <xf numFmtId="0" fontId="0" fillId="0" borderId="0" xfId="0"/>
    <xf numFmtId="0" fontId="3" fillId="0" borderId="0" xfId="1" applyFont="1" applyAlignment="1">
      <alignment horizontal="left"/>
    </xf>
    <xf numFmtId="0" fontId="3" fillId="0" borderId="1" xfId="1" applyFont="1" applyBorder="1" applyAlignment="1">
      <alignment horizontal="left"/>
    </xf>
    <xf numFmtId="0" fontId="2" fillId="0" borderId="0" xfId="1"/>
    <xf numFmtId="0" fontId="3" fillId="0" borderId="0" xfId="1" applyFont="1"/>
    <xf numFmtId="0" fontId="4" fillId="0" borderId="1" xfId="1" applyFont="1" applyBorder="1" applyAlignment="1">
      <alignment horizontal="right"/>
    </xf>
    <xf numFmtId="0" fontId="5" fillId="0" borderId="0" xfId="1" applyFont="1" applyAlignment="1">
      <alignment horizontal="left" indent="2"/>
    </xf>
    <xf numFmtId="11" fontId="2" fillId="0" borderId="0" xfId="1" applyNumberFormat="1"/>
    <xf numFmtId="0" fontId="1" fillId="0" borderId="0" xfId="1" applyFont="1"/>
    <xf numFmtId="0" fontId="2" fillId="0" borderId="1" xfId="1" applyBorder="1" applyAlignment="1">
      <alignment horizontal="right"/>
    </xf>
    <xf numFmtId="0" fontId="3" fillId="0" borderId="0" xfId="0" applyFont="1"/>
    <xf numFmtId="0" fontId="1" fillId="0" borderId="0" xfId="1" applyFont="1" applyAlignment="1">
      <alignment horizontal="left"/>
    </xf>
    <xf numFmtId="0" fontId="1" fillId="0" borderId="0" xfId="0" applyFont="1"/>
    <xf numFmtId="14" fontId="3" fillId="0" borderId="0" xfId="1" applyNumberFormat="1" applyFont="1" applyAlignment="1">
      <alignment horizontal="left"/>
    </xf>
    <xf numFmtId="0" fontId="3" fillId="0" borderId="2" xfId="1" applyFont="1" applyBorder="1"/>
    <xf numFmtId="0" fontId="1" fillId="0" borderId="2" xfId="0" applyFont="1" applyBorder="1"/>
    <xf numFmtId="0" fontId="0" fillId="0" borderId="4" xfId="0" applyBorder="1"/>
    <xf numFmtId="0" fontId="7" fillId="0" borderId="4" xfId="0" applyFont="1" applyBorder="1" applyAlignment="1">
      <alignment vertical="center"/>
    </xf>
    <xf numFmtId="0" fontId="7" fillId="0" borderId="0" xfId="0" applyFont="1" applyAlignment="1">
      <alignment vertical="center"/>
    </xf>
    <xf numFmtId="164" fontId="6" fillId="0" borderId="3" xfId="2" applyNumberFormat="1" applyFont="1"/>
    <xf numFmtId="10" fontId="6" fillId="0" borderId="3" xfId="2" applyNumberFormat="1" applyFont="1"/>
    <xf numFmtId="0" fontId="7" fillId="0" borderId="0" xfId="0" applyFont="1"/>
    <xf numFmtId="9" fontId="6" fillId="0" borderId="3" xfId="2" applyFont="1"/>
    <xf numFmtId="10" fontId="4" fillId="0" borderId="3" xfId="2" applyNumberFormat="1" applyFont="1"/>
    <xf numFmtId="0" fontId="7" fillId="0" borderId="4" xfId="0" applyFont="1" applyBorder="1"/>
    <xf numFmtId="10" fontId="6" fillId="0" borderId="4" xfId="2" applyNumberFormat="1" applyFont="1" applyBorder="1"/>
    <xf numFmtId="10" fontId="4" fillId="0" borderId="4" xfId="2" applyNumberFormat="1" applyFont="1" applyBorder="1"/>
    <xf numFmtId="0" fontId="7" fillId="0" borderId="0" xfId="1" applyFont="1" applyAlignment="1">
      <alignment vertical="center"/>
    </xf>
    <xf numFmtId="0" fontId="2" fillId="0" borderId="5" xfId="1" applyBorder="1"/>
    <xf numFmtId="49" fontId="7" fillId="0" borderId="5" xfId="1" applyNumberFormat="1" applyFont="1" applyBorder="1" applyAlignment="1">
      <alignment horizontal="center"/>
    </xf>
    <xf numFmtId="0" fontId="7" fillId="0" borderId="4" xfId="1" applyFont="1" applyBorder="1" applyAlignment="1">
      <alignment vertical="center"/>
    </xf>
    <xf numFmtId="164" fontId="0" fillId="0" borderId="3" xfId="2" applyNumberFormat="1" applyFont="1"/>
    <xf numFmtId="10" fontId="0" fillId="0" borderId="3" xfId="2" applyNumberFormat="1" applyFont="1"/>
    <xf numFmtId="0" fontId="7" fillId="0" borderId="0" xfId="1" applyFont="1"/>
    <xf numFmtId="9" fontId="0" fillId="0" borderId="3" xfId="2" applyFont="1"/>
    <xf numFmtId="0" fontId="7" fillId="0" borderId="4" xfId="1" applyFont="1" applyBorder="1"/>
    <xf numFmtId="0" fontId="2" fillId="0" borderId="4" xfId="1" applyBorder="1"/>
    <xf numFmtId="10" fontId="0" fillId="0" borderId="4" xfId="2" applyNumberFormat="1" applyFont="1" applyBorder="1"/>
    <xf numFmtId="10" fontId="4" fillId="0" borderId="9" xfId="2" applyNumberFormat="1" applyFont="1" applyBorder="1"/>
    <xf numFmtId="0" fontId="0" fillId="0" borderId="9" xfId="0" applyBorder="1"/>
    <xf numFmtId="0" fontId="7" fillId="0" borderId="10" xfId="1" applyFont="1" applyBorder="1" applyAlignment="1">
      <alignment vertical="center"/>
    </xf>
    <xf numFmtId="164" fontId="0" fillId="0" borderId="10" xfId="2" applyNumberFormat="1" applyFont="1" applyBorder="1"/>
    <xf numFmtId="10" fontId="0" fillId="0" borderId="10" xfId="2" applyNumberFormat="1" applyFont="1" applyBorder="1"/>
    <xf numFmtId="9" fontId="0" fillId="0" borderId="10" xfId="2" applyFont="1" applyBorder="1"/>
    <xf numFmtId="49" fontId="7" fillId="0" borderId="11" xfId="1" applyNumberFormat="1" applyFont="1" applyBorder="1" applyAlignment="1">
      <alignment horizontal="center"/>
    </xf>
    <xf numFmtId="0" fontId="7" fillId="0" borderId="12" xfId="1" applyFont="1" applyBorder="1" applyAlignment="1">
      <alignment vertical="center"/>
    </xf>
    <xf numFmtId="0" fontId="7" fillId="0" borderId="13" xfId="1" applyFont="1" applyBorder="1" applyAlignment="1">
      <alignment vertical="center"/>
    </xf>
    <xf numFmtId="164" fontId="0" fillId="0" borderId="12" xfId="2" applyNumberFormat="1" applyFont="1" applyBorder="1"/>
    <xf numFmtId="10" fontId="0" fillId="0" borderId="12" xfId="2" applyNumberFormat="1" applyFont="1" applyBorder="1"/>
    <xf numFmtId="9" fontId="0" fillId="0" borderId="12" xfId="2" applyFont="1" applyBorder="1"/>
    <xf numFmtId="10" fontId="0" fillId="0" borderId="13" xfId="2" applyNumberFormat="1" applyFont="1" applyBorder="1"/>
    <xf numFmtId="9" fontId="7" fillId="0" borderId="4" xfId="1" applyNumberFormat="1" applyFont="1" applyBorder="1"/>
    <xf numFmtId="0" fontId="7" fillId="0" borderId="0" xfId="1" applyFont="1" applyAlignment="1">
      <alignment horizontal="right" vertical="top"/>
    </xf>
    <xf numFmtId="10" fontId="2" fillId="0" borderId="0" xfId="1" applyNumberFormat="1"/>
    <xf numFmtId="0" fontId="7" fillId="0" borderId="4" xfId="1" applyFont="1" applyBorder="1" applyAlignment="1">
      <alignment horizontal="right" vertical="top"/>
    </xf>
    <xf numFmtId="10" fontId="2" fillId="0" borderId="4" xfId="1" applyNumberFormat="1" applyBorder="1"/>
    <xf numFmtId="165" fontId="2" fillId="0" borderId="0" xfId="1" applyNumberFormat="1"/>
    <xf numFmtId="165" fontId="2" fillId="0" borderId="4" xfId="1" applyNumberFormat="1" applyBorder="1"/>
    <xf numFmtId="0" fontId="7" fillId="0" borderId="9" xfId="1" applyFont="1" applyBorder="1" applyAlignment="1">
      <alignment horizontal="right" vertical="top"/>
    </xf>
    <xf numFmtId="2" fontId="2" fillId="0" borderId="10" xfId="1" applyNumberFormat="1" applyBorder="1"/>
    <xf numFmtId="165" fontId="2" fillId="0" borderId="10" xfId="1" applyNumberFormat="1" applyBorder="1"/>
    <xf numFmtId="165" fontId="2" fillId="0" borderId="7" xfId="1" applyNumberFormat="1" applyBorder="1"/>
    <xf numFmtId="0" fontId="7" fillId="0" borderId="15" xfId="1" applyFont="1" applyBorder="1" applyAlignment="1">
      <alignment horizontal="right" vertical="top"/>
    </xf>
    <xf numFmtId="2" fontId="2" fillId="0" borderId="4" xfId="1" applyNumberFormat="1" applyBorder="1"/>
    <xf numFmtId="165" fontId="2" fillId="0" borderId="8" xfId="1" applyNumberFormat="1" applyBorder="1"/>
    <xf numFmtId="10" fontId="4" fillId="0" borderId="10" xfId="2" applyNumberFormat="1" applyFont="1" applyBorder="1"/>
    <xf numFmtId="0" fontId="0" fillId="0" borderId="10" xfId="0" applyBorder="1"/>
    <xf numFmtId="0" fontId="2" fillId="0" borderId="14" xfId="1" applyBorder="1"/>
    <xf numFmtId="0" fontId="2" fillId="0" borderId="15" xfId="1" applyBorder="1"/>
    <xf numFmtId="9" fontId="7" fillId="0" borderId="8" xfId="1" applyNumberFormat="1" applyFont="1" applyBorder="1"/>
    <xf numFmtId="10" fontId="2" fillId="0" borderId="10" xfId="1" applyNumberFormat="1" applyBorder="1"/>
    <xf numFmtId="10" fontId="2" fillId="0" borderId="7" xfId="1" applyNumberFormat="1" applyBorder="1"/>
    <xf numFmtId="10" fontId="2" fillId="0" borderId="8" xfId="1" applyNumberFormat="1" applyBorder="1"/>
    <xf numFmtId="0" fontId="0" fillId="0" borderId="0" xfId="0" applyAlignment="1">
      <alignment horizontal="left" vertical="center"/>
    </xf>
    <xf numFmtId="0" fontId="6" fillId="0" borderId="4" xfId="1" applyFont="1" applyBorder="1" applyAlignment="1">
      <alignment horizontal="right" vertical="top"/>
    </xf>
    <xf numFmtId="0" fontId="2" fillId="0" borderId="0" xfId="1" applyAlignment="1">
      <alignment horizontal="right"/>
    </xf>
    <xf numFmtId="0" fontId="2" fillId="0" borderId="4" xfId="1" applyBorder="1" applyAlignment="1">
      <alignment horizontal="right"/>
    </xf>
    <xf numFmtId="165" fontId="2" fillId="0" borderId="4" xfId="1" applyNumberFormat="1" applyBorder="1" applyAlignment="1">
      <alignment vertical="center"/>
    </xf>
    <xf numFmtId="165" fontId="10" fillId="0" borderId="0" xfId="1" applyNumberFormat="1" applyFont="1"/>
    <xf numFmtId="0" fontId="2" fillId="0" borderId="16" xfId="1" applyBorder="1" applyAlignment="1">
      <alignment horizontal="right"/>
    </xf>
    <xf numFmtId="165" fontId="2" fillId="0" borderId="16" xfId="1" applyNumberFormat="1" applyBorder="1"/>
    <xf numFmtId="9" fontId="7" fillId="0" borderId="10" xfId="1" applyNumberFormat="1" applyFont="1" applyBorder="1"/>
    <xf numFmtId="0" fontId="9" fillId="0" borderId="10" xfId="1" applyFont="1" applyBorder="1" applyAlignment="1">
      <alignment vertical="center"/>
    </xf>
    <xf numFmtId="0" fontId="7" fillId="0" borderId="10" xfId="1" applyFont="1" applyBorder="1" applyAlignment="1">
      <alignment horizontal="right" vertical="top"/>
    </xf>
    <xf numFmtId="0" fontId="6" fillId="0" borderId="4" xfId="1" applyFont="1" applyBorder="1" applyAlignment="1">
      <alignment horizontal="right" vertical="center"/>
    </xf>
    <xf numFmtId="0" fontId="2" fillId="0" borderId="5" xfId="3" applyBorder="1"/>
    <xf numFmtId="49" fontId="2" fillId="0" borderId="5" xfId="3" applyNumberFormat="1" applyBorder="1" applyAlignment="1">
      <alignment horizontal="center"/>
    </xf>
    <xf numFmtId="0" fontId="9" fillId="0" borderId="0" xfId="1" applyFont="1" applyAlignment="1">
      <alignment vertical="center"/>
    </xf>
    <xf numFmtId="0" fontId="6" fillId="0" borderId="0" xfId="1" applyFont="1" applyAlignment="1">
      <alignment horizontal="center"/>
    </xf>
    <xf numFmtId="0" fontId="6" fillId="0" borderId="4" xfId="1" applyFont="1" applyBorder="1" applyAlignment="1">
      <alignment horizontal="left"/>
    </xf>
    <xf numFmtId="0" fontId="2" fillId="0" borderId="10" xfId="3" applyAlignment="1">
      <alignment horizontal="center"/>
    </xf>
    <xf numFmtId="0" fontId="4" fillId="0" borderId="10" xfId="3" applyFont="1" applyAlignment="1">
      <alignment horizontal="center"/>
    </xf>
    <xf numFmtId="49" fontId="2" fillId="0" borderId="10" xfId="3" applyNumberFormat="1" applyAlignment="1">
      <alignment horizontal="center"/>
    </xf>
    <xf numFmtId="0" fontId="6" fillId="0" borderId="10" xfId="1" applyFont="1" applyBorder="1" applyAlignment="1">
      <alignment horizontal="center"/>
    </xf>
    <xf numFmtId="2" fontId="4" fillId="0" borderId="0" xfId="0" applyNumberFormat="1" applyFont="1" applyAlignment="1">
      <alignment horizontal="center" vertical="center"/>
    </xf>
    <xf numFmtId="166" fontId="4" fillId="0" borderId="0" xfId="0" applyNumberFormat="1" applyFont="1" applyAlignment="1">
      <alignment horizontal="center" vertical="center"/>
    </xf>
    <xf numFmtId="0" fontId="7" fillId="0" borderId="0" xfId="0" applyFont="1" applyAlignment="1">
      <alignment horizontal="left" vertical="top"/>
    </xf>
    <xf numFmtId="10" fontId="0" fillId="0" borderId="0" xfId="0" applyNumberFormat="1" applyAlignment="1">
      <alignment horizontal="right"/>
    </xf>
    <xf numFmtId="0" fontId="3" fillId="0" borderId="17" xfId="1" applyFont="1" applyBorder="1"/>
    <xf numFmtId="0" fontId="3" fillId="0" borderId="18" xfId="1" applyFont="1" applyBorder="1"/>
    <xf numFmtId="0" fontId="0" fillId="2" borderId="0" xfId="0" applyFill="1"/>
    <xf numFmtId="0" fontId="0" fillId="2" borderId="19" xfId="0" applyFill="1" applyBorder="1"/>
    <xf numFmtId="0" fontId="0" fillId="2" borderId="20" xfId="0" applyFill="1" applyBorder="1"/>
    <xf numFmtId="0" fontId="0" fillId="2" borderId="21" xfId="0" applyFill="1" applyBorder="1"/>
    <xf numFmtId="0" fontId="0" fillId="2" borderId="22" xfId="0" applyFill="1" applyBorder="1"/>
    <xf numFmtId="0" fontId="0" fillId="2" borderId="10" xfId="0" applyFill="1" applyBorder="1"/>
    <xf numFmtId="0" fontId="0" fillId="2" borderId="1" xfId="0" applyFill="1" applyBorder="1"/>
    <xf numFmtId="0" fontId="0" fillId="3" borderId="10" xfId="0" applyFill="1" applyBorder="1" applyAlignment="1">
      <alignment horizontal="center"/>
    </xf>
    <xf numFmtId="0" fontId="0" fillId="4" borderId="10" xfId="0" applyFill="1" applyBorder="1" applyAlignment="1">
      <alignment horizontal="center"/>
    </xf>
    <xf numFmtId="0" fontId="0" fillId="2" borderId="23" xfId="0" applyFill="1" applyBorder="1"/>
    <xf numFmtId="0" fontId="0" fillId="2" borderId="24" xfId="0" applyFill="1" applyBorder="1"/>
    <xf numFmtId="0" fontId="0" fillId="2" borderId="25" xfId="0" applyFill="1" applyBorder="1"/>
    <xf numFmtId="0" fontId="4" fillId="5" borderId="10" xfId="0" applyFont="1" applyFill="1" applyBorder="1" applyAlignment="1">
      <alignment horizont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4" xfId="0" applyFont="1" applyBorder="1" applyAlignment="1">
      <alignment horizontal="center" vertical="center"/>
    </xf>
    <xf numFmtId="0" fontId="8" fillId="0" borderId="9" xfId="0" applyFont="1" applyBorder="1" applyAlignment="1">
      <alignment horizontal="center" vertical="center"/>
    </xf>
    <xf numFmtId="0" fontId="9" fillId="0" borderId="14" xfId="1" applyFont="1" applyBorder="1" applyAlignment="1">
      <alignment horizontal="left" vertical="center"/>
    </xf>
    <xf numFmtId="0" fontId="9" fillId="0" borderId="5" xfId="1" applyFont="1" applyBorder="1" applyAlignment="1">
      <alignment horizontal="left" vertical="center"/>
    </xf>
    <xf numFmtId="0" fontId="9" fillId="0" borderId="6" xfId="1" applyFont="1" applyBorder="1" applyAlignment="1">
      <alignment horizontal="left" vertical="center"/>
    </xf>
    <xf numFmtId="0" fontId="8" fillId="0" borderId="10" xfId="0" applyFont="1" applyBorder="1" applyAlignment="1">
      <alignment horizontal="center" vertical="center"/>
    </xf>
    <xf numFmtId="9" fontId="7" fillId="0" borderId="5" xfId="1" applyNumberFormat="1" applyFont="1" applyBorder="1" applyAlignment="1">
      <alignment horizontal="center"/>
    </xf>
    <xf numFmtId="9" fontId="7" fillId="0" borderId="6" xfId="1" applyNumberFormat="1" applyFont="1" applyBorder="1" applyAlignment="1">
      <alignment horizontal="center"/>
    </xf>
    <xf numFmtId="0" fontId="9" fillId="0" borderId="5" xfId="0" applyFont="1" applyBorder="1" applyAlignment="1">
      <alignment horizontal="left" vertical="center"/>
    </xf>
    <xf numFmtId="0" fontId="1" fillId="0" borderId="0" xfId="0" applyFont="1" applyAlignment="1">
      <alignment horizontal="center"/>
    </xf>
  </cellXfs>
  <cellStyles count="4">
    <cellStyle name="Normal" xfId="0" builtinId="0"/>
    <cellStyle name="Normal 2" xfId="3" xr:uid="{99757D93-20E1-44ED-BDEB-BBF639644969}"/>
    <cellStyle name="Prozent 2" xfId="2" xr:uid="{57AA516B-B487-4A70-98A6-43373560E226}"/>
    <cellStyle name="Standard 2" xfId="1" xr:uid="{E8B9C7D3-D84C-49BE-96AB-762D27356BE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Exler\Dropbox\Research\Regulation_consumer_Lending\Experiments\revision%20JEEA\2023-09_fullrun_edu_fixedCV.xlsx" TargetMode="External"/><Relationship Id="rId1" Type="http://schemas.openxmlformats.org/officeDocument/2006/relationships/externalLinkPath" Target="/Users/Exler/Dropbox/Research/Regulation_consumer_Lending/Experiments/revision%20JEEA/2023-09_fullrun_edu_fixedC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me"/>
      <sheetName val="Equilibrium Outcomes Across Typ"/>
      <sheetName val="Decomposition Benchmark"/>
      <sheetName val="Full Info Economy"/>
      <sheetName val="Policy Experiments"/>
      <sheetName val="Varying Fraction Behavioral"/>
      <sheetName val="Varying Degree OverOpt"/>
      <sheetName val="Robust Policy lambda "/>
      <sheetName val="Robust Policy psi"/>
      <sheetName val="Robust Policy old psi_table"/>
      <sheetName val="old-Policy Exp DSR_table"/>
    </sheetNames>
    <sheetDataSet>
      <sheetData sheetId="0">
        <row r="26">
          <cell r="C26">
            <v>0.38</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59"/>
  <sheetViews>
    <sheetView workbookViewId="0"/>
  </sheetViews>
  <sheetFormatPr defaultRowHeight="15" x14ac:dyDescent="0.25"/>
  <cols>
    <col min="1" max="1" width="33.42578125" customWidth="1"/>
    <col min="2" max="2" width="21.42578125" customWidth="1"/>
    <col min="3" max="4" width="12.7109375" customWidth="1"/>
    <col min="5" max="9" width="16.28515625" customWidth="1"/>
    <col min="10" max="10" width="15.7109375" customWidth="1"/>
    <col min="11" max="12" width="16.28515625" customWidth="1"/>
    <col min="13" max="13" width="15.5703125" customWidth="1"/>
    <col min="14" max="14" width="16.28515625" customWidth="1"/>
    <col min="15" max="15" width="15.7109375" customWidth="1"/>
    <col min="16" max="24" width="16.28515625" customWidth="1"/>
    <col min="25" max="25" width="16.42578125" customWidth="1"/>
    <col min="26" max="27" width="16.28515625" customWidth="1"/>
    <col min="28" max="28" width="15.7109375" customWidth="1"/>
    <col min="29" max="32" width="16.28515625" customWidth="1"/>
    <col min="33" max="33" width="15.5703125" customWidth="1"/>
    <col min="34" max="34" width="16.28515625" customWidth="1"/>
    <col min="35" max="36" width="15.7109375" customWidth="1"/>
    <col min="37" max="38" width="15.5703125" customWidth="1"/>
    <col min="39" max="40" width="16.28515625" customWidth="1"/>
    <col min="41" max="41" width="15.7109375" customWidth="1"/>
    <col min="42" max="43" width="16.28515625" customWidth="1"/>
    <col min="44" max="44" width="15.7109375" customWidth="1"/>
    <col min="45" max="59" width="16.28515625" customWidth="1"/>
    <col min="60" max="60" width="15.7109375" customWidth="1"/>
    <col min="61" max="66" width="16.28515625" customWidth="1"/>
    <col min="67" max="67" width="15.7109375" customWidth="1"/>
    <col min="68" max="90" width="16.28515625" customWidth="1"/>
    <col min="91" max="91" width="15.7109375" customWidth="1"/>
    <col min="92" max="94" width="16.28515625" customWidth="1"/>
    <col min="95" max="95" width="15.7109375" customWidth="1"/>
    <col min="96" max="114" width="16.28515625" customWidth="1"/>
    <col min="115" max="115" width="15.7109375" customWidth="1"/>
    <col min="116" max="118" width="16.28515625" customWidth="1"/>
  </cols>
  <sheetData>
    <row r="1" spans="1:4" s="12" customFormat="1" x14ac:dyDescent="0.25">
      <c r="A1" s="1" t="s">
        <v>33</v>
      </c>
      <c r="B1" s="2"/>
    </row>
    <row r="2" spans="1:4" s="12" customFormat="1" x14ac:dyDescent="0.25">
      <c r="A2" s="1" t="s">
        <v>0</v>
      </c>
      <c r="B2" s="2"/>
      <c r="C2" s="13"/>
      <c r="D2" s="13"/>
    </row>
    <row r="3" spans="1:4" s="12" customFormat="1" ht="15.75" thickBot="1" x14ac:dyDescent="0.3">
      <c r="A3" s="1" t="s">
        <v>1</v>
      </c>
      <c r="B3" s="2"/>
      <c r="C3" s="1"/>
      <c r="D3" s="1"/>
    </row>
    <row r="4" spans="1:4" s="15" customFormat="1" ht="15.75" thickBot="1" x14ac:dyDescent="0.3">
      <c r="A4" s="98" t="s">
        <v>2</v>
      </c>
      <c r="B4" s="99"/>
      <c r="C4" s="14"/>
      <c r="D4" s="14"/>
    </row>
    <row r="5" spans="1:4" x14ac:dyDescent="0.25">
      <c r="A5" s="4" t="s">
        <v>3</v>
      </c>
      <c r="B5" s="5" t="s">
        <v>70</v>
      </c>
      <c r="C5" s="3"/>
      <c r="D5" s="3"/>
    </row>
    <row r="6" spans="1:4" x14ac:dyDescent="0.25">
      <c r="A6" s="6"/>
      <c r="B6" s="5" t="s">
        <v>39</v>
      </c>
      <c r="C6" s="3"/>
      <c r="D6" s="3"/>
    </row>
    <row r="7" spans="1:4" x14ac:dyDescent="0.25">
      <c r="A7" s="6"/>
      <c r="B7" s="5" t="s">
        <v>5</v>
      </c>
      <c r="C7" s="3"/>
      <c r="D7" s="3"/>
    </row>
    <row r="8" spans="1:4" x14ac:dyDescent="0.25">
      <c r="A8" s="4" t="s">
        <v>6</v>
      </c>
      <c r="B8" s="5" t="s">
        <v>70</v>
      </c>
      <c r="C8" s="7"/>
      <c r="D8" s="7"/>
    </row>
    <row r="9" spans="1:4" x14ac:dyDescent="0.25">
      <c r="A9" s="6"/>
      <c r="B9" s="5" t="s">
        <v>39</v>
      </c>
      <c r="C9" s="7"/>
      <c r="D9" s="7"/>
    </row>
    <row r="10" spans="1:4" x14ac:dyDescent="0.25">
      <c r="A10" s="6"/>
      <c r="B10" s="5" t="s">
        <v>5</v>
      </c>
      <c r="C10" s="7"/>
      <c r="D10" s="7"/>
    </row>
    <row r="11" spans="1:4" x14ac:dyDescent="0.25">
      <c r="A11" s="8" t="s">
        <v>127</v>
      </c>
      <c r="B11" s="9"/>
      <c r="C11" s="7"/>
      <c r="D11" s="7"/>
    </row>
    <row r="12" spans="1:4" x14ac:dyDescent="0.25">
      <c r="A12" s="8" t="s">
        <v>128</v>
      </c>
      <c r="B12" s="9"/>
      <c r="C12" s="7"/>
      <c r="D12" s="7"/>
    </row>
    <row r="13" spans="1:4" x14ac:dyDescent="0.25">
      <c r="A13" s="4" t="s">
        <v>7</v>
      </c>
      <c r="B13" s="5" t="s">
        <v>70</v>
      </c>
      <c r="C13" s="3"/>
      <c r="D13" s="3"/>
    </row>
    <row r="14" spans="1:4" x14ac:dyDescent="0.25">
      <c r="A14" s="6"/>
      <c r="B14" s="5" t="s">
        <v>39</v>
      </c>
      <c r="C14" s="3"/>
      <c r="D14" s="3"/>
    </row>
    <row r="15" spans="1:4" x14ac:dyDescent="0.25">
      <c r="A15" s="6"/>
      <c r="B15" s="5" t="s">
        <v>5</v>
      </c>
      <c r="C15" s="3"/>
      <c r="D15" s="3"/>
    </row>
    <row r="16" spans="1:4" x14ac:dyDescent="0.25">
      <c r="A16" s="4" t="s">
        <v>8</v>
      </c>
      <c r="B16" s="5" t="s">
        <v>70</v>
      </c>
      <c r="C16" s="7"/>
      <c r="D16" s="7"/>
    </row>
    <row r="17" spans="1:4" x14ac:dyDescent="0.25">
      <c r="A17" s="6"/>
      <c r="B17" s="5" t="s">
        <v>39</v>
      </c>
      <c r="C17" s="7"/>
      <c r="D17" s="7"/>
    </row>
    <row r="18" spans="1:4" x14ac:dyDescent="0.25">
      <c r="A18" s="6"/>
      <c r="B18" s="5" t="s">
        <v>5</v>
      </c>
      <c r="C18" s="7"/>
      <c r="D18" s="7"/>
    </row>
    <row r="19" spans="1:4" x14ac:dyDescent="0.25">
      <c r="A19" s="4" t="s">
        <v>9</v>
      </c>
      <c r="B19" s="9"/>
      <c r="C19" s="7"/>
      <c r="D19" s="7"/>
    </row>
    <row r="20" spans="1:4" x14ac:dyDescent="0.25">
      <c r="A20" s="4" t="s">
        <v>10</v>
      </c>
      <c r="B20" s="5" t="s">
        <v>70</v>
      </c>
      <c r="C20" s="3"/>
      <c r="D20" s="3"/>
    </row>
    <row r="21" spans="1:4" x14ac:dyDescent="0.25">
      <c r="A21" s="6"/>
      <c r="B21" s="5" t="s">
        <v>39</v>
      </c>
      <c r="C21" s="3"/>
      <c r="D21" s="3"/>
    </row>
    <row r="22" spans="1:4" x14ac:dyDescent="0.25">
      <c r="A22" s="6"/>
      <c r="B22" s="5" t="s">
        <v>5</v>
      </c>
      <c r="C22" s="3"/>
      <c r="D22" s="3"/>
    </row>
    <row r="23" spans="1:4" x14ac:dyDescent="0.25">
      <c r="A23" s="4" t="s">
        <v>11</v>
      </c>
      <c r="B23" s="5" t="s">
        <v>70</v>
      </c>
      <c r="C23" s="3"/>
      <c r="D23" s="3"/>
    </row>
    <row r="24" spans="1:4" x14ac:dyDescent="0.25">
      <c r="A24" s="6"/>
      <c r="B24" s="5" t="s">
        <v>39</v>
      </c>
      <c r="C24" s="3"/>
      <c r="D24" s="3"/>
    </row>
    <row r="25" spans="1:4" x14ac:dyDescent="0.25">
      <c r="A25" s="6"/>
      <c r="B25" s="5" t="s">
        <v>5</v>
      </c>
      <c r="C25" s="3"/>
      <c r="D25" s="3"/>
    </row>
    <row r="26" spans="1:4" x14ac:dyDescent="0.25">
      <c r="A26" s="4" t="s">
        <v>12</v>
      </c>
      <c r="B26" s="5" t="s">
        <v>70</v>
      </c>
      <c r="C26" s="3"/>
      <c r="D26" s="3"/>
    </row>
    <row r="27" spans="1:4" x14ac:dyDescent="0.25">
      <c r="A27" s="6"/>
      <c r="B27" s="5" t="s">
        <v>39</v>
      </c>
      <c r="C27" s="3"/>
      <c r="D27" s="3"/>
    </row>
    <row r="28" spans="1:4" x14ac:dyDescent="0.25">
      <c r="A28" s="6"/>
      <c r="B28" s="5" t="s">
        <v>5</v>
      </c>
      <c r="C28" s="3"/>
      <c r="D28" s="3"/>
    </row>
    <row r="29" spans="1:4" x14ac:dyDescent="0.25">
      <c r="A29" s="4" t="s">
        <v>13</v>
      </c>
      <c r="B29" s="5" t="s">
        <v>70</v>
      </c>
      <c r="C29" s="7"/>
      <c r="D29" s="7"/>
    </row>
    <row r="30" spans="1:4" x14ac:dyDescent="0.25">
      <c r="A30" s="6"/>
      <c r="B30" s="5" t="s">
        <v>39</v>
      </c>
      <c r="C30" s="7"/>
      <c r="D30" s="7"/>
    </row>
    <row r="31" spans="1:4" x14ac:dyDescent="0.25">
      <c r="A31" s="6"/>
      <c r="B31" s="5" t="s">
        <v>5</v>
      </c>
      <c r="C31" s="7"/>
      <c r="D31" s="7"/>
    </row>
    <row r="32" spans="1:4" x14ac:dyDescent="0.25">
      <c r="A32" s="4" t="s">
        <v>14</v>
      </c>
      <c r="B32" s="5" t="s">
        <v>70</v>
      </c>
      <c r="C32" s="3"/>
      <c r="D32" s="3"/>
    </row>
    <row r="33" spans="1:4" x14ac:dyDescent="0.25">
      <c r="A33" s="6"/>
      <c r="B33" s="5" t="s">
        <v>39</v>
      </c>
      <c r="C33" s="3"/>
      <c r="D33" s="3"/>
    </row>
    <row r="34" spans="1:4" x14ac:dyDescent="0.25">
      <c r="A34" s="6"/>
      <c r="B34" s="5" t="s">
        <v>5</v>
      </c>
      <c r="C34" s="3"/>
      <c r="D34" s="3"/>
    </row>
    <row r="35" spans="1:4" x14ac:dyDescent="0.25">
      <c r="A35" s="4" t="s">
        <v>15</v>
      </c>
      <c r="B35" s="5" t="s">
        <v>70</v>
      </c>
      <c r="C35" s="3"/>
      <c r="D35" s="3"/>
    </row>
    <row r="36" spans="1:4" x14ac:dyDescent="0.25">
      <c r="A36" s="6"/>
      <c r="B36" s="5" t="s">
        <v>39</v>
      </c>
      <c r="C36" s="3"/>
      <c r="D36" s="3"/>
    </row>
    <row r="37" spans="1:4" x14ac:dyDescent="0.25">
      <c r="A37" s="6"/>
      <c r="B37" s="5" t="s">
        <v>5</v>
      </c>
      <c r="C37" s="3"/>
      <c r="D37" s="3"/>
    </row>
    <row r="38" spans="1:4" x14ac:dyDescent="0.25">
      <c r="A38" s="4" t="s">
        <v>16</v>
      </c>
      <c r="B38" s="5" t="s">
        <v>70</v>
      </c>
      <c r="C38" s="3"/>
      <c r="D38" s="3"/>
    </row>
    <row r="39" spans="1:4" x14ac:dyDescent="0.25">
      <c r="A39" s="6"/>
      <c r="B39" s="5" t="s">
        <v>39</v>
      </c>
      <c r="C39" s="3"/>
      <c r="D39" s="3"/>
    </row>
    <row r="40" spans="1:4" x14ac:dyDescent="0.25">
      <c r="A40" s="6"/>
      <c r="B40" s="5" t="s">
        <v>5</v>
      </c>
      <c r="C40" s="3"/>
      <c r="D40" s="3"/>
    </row>
    <row r="41" spans="1:4" x14ac:dyDescent="0.25">
      <c r="A41" s="4" t="s">
        <v>17</v>
      </c>
      <c r="B41" s="5"/>
      <c r="C41" s="7"/>
      <c r="D41" s="3"/>
    </row>
    <row r="42" spans="1:4" x14ac:dyDescent="0.25">
      <c r="A42" s="4" t="s">
        <v>18</v>
      </c>
      <c r="B42" s="5"/>
      <c r="C42" s="7"/>
      <c r="D42" s="7"/>
    </row>
    <row r="43" spans="1:4" x14ac:dyDescent="0.25">
      <c r="A43" s="4" t="s">
        <v>19</v>
      </c>
      <c r="B43" s="5"/>
      <c r="C43" s="3"/>
      <c r="D43" s="3"/>
    </row>
    <row r="44" spans="1:4" x14ac:dyDescent="0.25">
      <c r="A44" s="4" t="s">
        <v>20</v>
      </c>
      <c r="B44" s="5"/>
      <c r="C44" s="3"/>
      <c r="D44" s="3"/>
    </row>
    <row r="45" spans="1:4" x14ac:dyDescent="0.25">
      <c r="A45" s="4" t="s">
        <v>21</v>
      </c>
      <c r="B45" s="5"/>
      <c r="C45" s="3"/>
      <c r="D45" s="3"/>
    </row>
    <row r="46" spans="1:4" x14ac:dyDescent="0.25">
      <c r="A46" s="4" t="s">
        <v>22</v>
      </c>
      <c r="B46" s="5"/>
      <c r="C46" s="3"/>
      <c r="D46" s="3"/>
    </row>
    <row r="47" spans="1:4" x14ac:dyDescent="0.25">
      <c r="A47" s="4" t="s">
        <v>23</v>
      </c>
      <c r="B47" s="5"/>
      <c r="C47" s="3"/>
      <c r="D47" s="3"/>
    </row>
    <row r="48" spans="1:4" x14ac:dyDescent="0.25">
      <c r="A48" s="4" t="s">
        <v>24</v>
      </c>
      <c r="B48" s="5" t="s">
        <v>70</v>
      </c>
      <c r="C48" s="7"/>
      <c r="D48" s="7"/>
    </row>
    <row r="49" spans="1:4" x14ac:dyDescent="0.25">
      <c r="A49" s="3"/>
      <c r="B49" s="5" t="s">
        <v>39</v>
      </c>
      <c r="C49" s="7"/>
      <c r="D49" s="7"/>
    </row>
    <row r="50" spans="1:4" x14ac:dyDescent="0.25">
      <c r="A50" s="10" t="s">
        <v>25</v>
      </c>
      <c r="B50" s="5"/>
      <c r="C50" s="3"/>
      <c r="D50" s="7"/>
    </row>
    <row r="51" spans="1:4" x14ac:dyDescent="0.25">
      <c r="A51" s="4" t="s">
        <v>26</v>
      </c>
      <c r="B51" s="5"/>
      <c r="C51" s="3"/>
      <c r="D51" s="7"/>
    </row>
    <row r="52" spans="1:4" x14ac:dyDescent="0.25">
      <c r="A52" s="4" t="s">
        <v>27</v>
      </c>
      <c r="B52" s="5"/>
      <c r="C52" s="7"/>
      <c r="D52" s="7"/>
    </row>
    <row r="53" spans="1:4" x14ac:dyDescent="0.25">
      <c r="A53" s="4" t="s">
        <v>28</v>
      </c>
      <c r="B53" s="5"/>
      <c r="C53" s="7"/>
      <c r="D53" s="7"/>
    </row>
    <row r="54" spans="1:4" x14ac:dyDescent="0.25">
      <c r="A54" s="4" t="s">
        <v>29</v>
      </c>
      <c r="B54" s="5"/>
      <c r="C54" s="7"/>
      <c r="D54" s="7"/>
    </row>
    <row r="55" spans="1:4" x14ac:dyDescent="0.25">
      <c r="A55" s="4" t="s">
        <v>129</v>
      </c>
      <c r="B55" s="5"/>
      <c r="C55" s="3"/>
      <c r="D55" s="3"/>
    </row>
    <row r="56" spans="1:4" x14ac:dyDescent="0.25">
      <c r="A56" s="4" t="s">
        <v>130</v>
      </c>
      <c r="B56" s="5"/>
      <c r="C56" s="7"/>
      <c r="D56" s="7"/>
    </row>
    <row r="57" spans="1:4" x14ac:dyDescent="0.25">
      <c r="A57" s="8" t="s">
        <v>30</v>
      </c>
      <c r="B57" s="5" t="s">
        <v>70</v>
      </c>
      <c r="C57" s="3"/>
      <c r="D57" s="3"/>
    </row>
    <row r="58" spans="1:4" x14ac:dyDescent="0.25">
      <c r="A58" s="11" t="s">
        <v>31</v>
      </c>
      <c r="B58" s="5" t="s">
        <v>39</v>
      </c>
      <c r="C58" s="3"/>
      <c r="D58" s="3"/>
    </row>
    <row r="59" spans="1:4" x14ac:dyDescent="0.25">
      <c r="A59" s="8"/>
      <c r="B59" s="5" t="s">
        <v>32</v>
      </c>
      <c r="C59" s="3"/>
      <c r="D59"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E3E68-643D-4106-BFDD-3F797CB84621}">
  <dimension ref="A1:Z24"/>
  <sheetViews>
    <sheetView workbookViewId="0">
      <selection activeCell="AA25" sqref="AA25"/>
    </sheetView>
  </sheetViews>
  <sheetFormatPr defaultRowHeight="15" x14ac:dyDescent="0.25"/>
  <cols>
    <col min="3" max="3" width="26.28515625" customWidth="1"/>
  </cols>
  <sheetData>
    <row r="1" spans="1:26" x14ac:dyDescent="0.25">
      <c r="A1" s="101" t="s">
        <v>119</v>
      </c>
      <c r="B1" s="102"/>
      <c r="C1" s="102"/>
      <c r="D1" s="102"/>
      <c r="E1" s="102"/>
      <c r="F1" s="102"/>
      <c r="G1" s="102"/>
      <c r="H1" s="102"/>
      <c r="I1" s="102"/>
      <c r="J1" s="102"/>
      <c r="K1" s="102"/>
      <c r="L1" s="102"/>
      <c r="M1" s="102"/>
      <c r="N1" s="102"/>
      <c r="O1" s="102"/>
      <c r="P1" s="102"/>
      <c r="Q1" s="102"/>
      <c r="R1" s="102"/>
      <c r="S1" s="102"/>
      <c r="T1" s="102"/>
      <c r="U1" s="102"/>
      <c r="V1" s="102"/>
      <c r="W1" s="102"/>
      <c r="X1" s="102"/>
      <c r="Y1" s="102"/>
      <c r="Z1" s="103"/>
    </row>
    <row r="2" spans="1:26" x14ac:dyDescent="0.25">
      <c r="A2" s="104"/>
      <c r="B2" s="105"/>
      <c r="C2" s="105"/>
      <c r="D2" s="105"/>
      <c r="E2" s="105"/>
      <c r="F2" s="105"/>
      <c r="G2" s="105"/>
      <c r="H2" s="105"/>
      <c r="I2" s="105"/>
      <c r="J2" s="105"/>
      <c r="K2" s="105"/>
      <c r="L2" s="105"/>
      <c r="M2" s="105"/>
      <c r="N2" s="105"/>
      <c r="O2" s="105"/>
      <c r="P2" s="105"/>
      <c r="Q2" s="105"/>
      <c r="R2" s="105"/>
      <c r="S2" s="105"/>
      <c r="T2" s="105"/>
      <c r="U2" s="105"/>
      <c r="V2" s="105"/>
      <c r="W2" s="105"/>
      <c r="X2" s="105"/>
      <c r="Y2" s="105"/>
      <c r="Z2" s="106"/>
    </row>
    <row r="3" spans="1:26" x14ac:dyDescent="0.25">
      <c r="A3" s="104" t="s">
        <v>120</v>
      </c>
      <c r="B3" s="105"/>
      <c r="C3" s="105"/>
      <c r="D3" s="105"/>
      <c r="E3" s="105"/>
      <c r="F3" s="105"/>
      <c r="G3" s="105"/>
      <c r="H3" s="105"/>
      <c r="I3" s="105"/>
      <c r="J3" s="105"/>
      <c r="K3" s="105"/>
      <c r="L3" s="105"/>
      <c r="M3" s="105"/>
      <c r="N3" s="105"/>
      <c r="O3" s="105"/>
      <c r="P3" s="105"/>
      <c r="Q3" s="105"/>
      <c r="R3" s="105"/>
      <c r="S3" s="105"/>
      <c r="T3" s="105"/>
      <c r="U3" s="105"/>
      <c r="V3" s="105"/>
      <c r="W3" s="105"/>
      <c r="X3" s="105"/>
      <c r="Y3" s="105"/>
      <c r="Z3" s="106"/>
    </row>
    <row r="4" spans="1:26" x14ac:dyDescent="0.25">
      <c r="A4" s="104"/>
      <c r="B4" s="105"/>
      <c r="C4" s="105"/>
      <c r="D4" s="105"/>
      <c r="E4" s="105"/>
      <c r="F4" s="105"/>
      <c r="G4" s="105"/>
      <c r="H4" s="105"/>
      <c r="I4" s="105"/>
      <c r="J4" s="105"/>
      <c r="K4" s="105"/>
      <c r="L4" s="105"/>
      <c r="M4" s="105"/>
      <c r="N4" s="105"/>
      <c r="O4" s="105"/>
      <c r="P4" s="105"/>
      <c r="Q4" s="105"/>
      <c r="R4" s="105"/>
      <c r="S4" s="105"/>
      <c r="T4" s="105"/>
      <c r="U4" s="105"/>
      <c r="V4" s="105"/>
      <c r="W4" s="105"/>
      <c r="X4" s="105"/>
      <c r="Y4" s="105"/>
      <c r="Z4" s="106"/>
    </row>
    <row r="5" spans="1:26" x14ac:dyDescent="0.25">
      <c r="A5" s="104" t="s">
        <v>126</v>
      </c>
      <c r="B5" s="105"/>
      <c r="C5" s="105"/>
      <c r="D5" s="105"/>
      <c r="E5" s="105"/>
      <c r="F5" s="105"/>
      <c r="G5" s="105"/>
      <c r="H5" s="105"/>
      <c r="I5" s="105"/>
      <c r="J5" s="105"/>
      <c r="K5" s="105"/>
      <c r="L5" s="105"/>
      <c r="M5" s="105"/>
      <c r="N5" s="105"/>
      <c r="O5" s="105"/>
      <c r="P5" s="105"/>
      <c r="Q5" s="105"/>
      <c r="R5" s="105"/>
      <c r="S5" s="105"/>
      <c r="T5" s="105"/>
      <c r="U5" s="105"/>
      <c r="V5" s="105"/>
      <c r="W5" s="105"/>
      <c r="X5" s="105"/>
      <c r="Y5" s="105"/>
      <c r="Z5" s="106"/>
    </row>
    <row r="6" spans="1:26" x14ac:dyDescent="0.25">
      <c r="A6" s="104"/>
      <c r="B6" s="105"/>
      <c r="C6" s="105"/>
      <c r="D6" s="105"/>
      <c r="E6" s="105"/>
      <c r="F6" s="105"/>
      <c r="G6" s="105"/>
      <c r="H6" s="105"/>
      <c r="I6" s="105"/>
      <c r="J6" s="105"/>
      <c r="K6" s="105"/>
      <c r="L6" s="105"/>
      <c r="M6" s="105"/>
      <c r="N6" s="105"/>
      <c r="O6" s="105"/>
      <c r="P6" s="105"/>
      <c r="Q6" s="105"/>
      <c r="R6" s="105"/>
      <c r="S6" s="105"/>
      <c r="T6" s="105"/>
      <c r="U6" s="105"/>
      <c r="V6" s="105"/>
      <c r="W6" s="105"/>
      <c r="X6" s="105"/>
      <c r="Y6" s="105"/>
      <c r="Z6" s="106"/>
    </row>
    <row r="7" spans="1:26" x14ac:dyDescent="0.25">
      <c r="A7" s="104" t="s">
        <v>121</v>
      </c>
      <c r="B7" s="105"/>
      <c r="C7" s="105" t="s">
        <v>125</v>
      </c>
      <c r="D7" s="105"/>
      <c r="E7" s="105"/>
      <c r="F7" s="105"/>
      <c r="G7" s="105"/>
      <c r="H7" s="105"/>
      <c r="I7" s="105"/>
      <c r="J7" s="105"/>
      <c r="K7" s="105"/>
      <c r="L7" s="105"/>
      <c r="M7" s="105"/>
      <c r="N7" s="105"/>
      <c r="O7" s="105"/>
      <c r="P7" s="105"/>
      <c r="Q7" s="105"/>
      <c r="R7" s="105"/>
      <c r="S7" s="105"/>
      <c r="T7" s="105"/>
      <c r="U7" s="105"/>
      <c r="V7" s="105"/>
      <c r="W7" s="105"/>
      <c r="X7" s="105"/>
      <c r="Y7" s="105"/>
      <c r="Z7" s="106"/>
    </row>
    <row r="8" spans="1:26" x14ac:dyDescent="0.25">
      <c r="A8" s="104"/>
      <c r="B8" s="105"/>
      <c r="C8" s="105"/>
      <c r="D8" s="105"/>
      <c r="E8" s="105"/>
      <c r="F8" s="105"/>
      <c r="G8" s="105"/>
      <c r="H8" s="105"/>
      <c r="I8" s="105"/>
      <c r="J8" s="105"/>
      <c r="K8" s="105"/>
      <c r="L8" s="105"/>
      <c r="M8" s="105"/>
      <c r="N8" s="105"/>
      <c r="O8" s="105"/>
      <c r="P8" s="105"/>
      <c r="Q8" s="105"/>
      <c r="R8" s="105"/>
      <c r="S8" s="105"/>
      <c r="T8" s="105"/>
      <c r="U8" s="105"/>
      <c r="V8" s="105"/>
      <c r="W8" s="105"/>
      <c r="X8" s="105"/>
      <c r="Y8" s="105"/>
      <c r="Z8" s="106"/>
    </row>
    <row r="9" spans="1:26" x14ac:dyDescent="0.25">
      <c r="A9" s="104"/>
      <c r="B9" s="105"/>
      <c r="C9" s="112" t="s">
        <v>122</v>
      </c>
      <c r="D9" s="105" t="s">
        <v>157</v>
      </c>
      <c r="E9" s="105"/>
      <c r="F9" s="105"/>
      <c r="G9" s="105"/>
      <c r="H9" s="105"/>
      <c r="I9" s="105"/>
      <c r="J9" s="105"/>
      <c r="K9" s="105"/>
      <c r="L9" s="105"/>
      <c r="M9" s="105"/>
      <c r="N9" s="105"/>
      <c r="O9" s="105"/>
      <c r="P9" s="105"/>
      <c r="Q9" s="105"/>
      <c r="R9" s="105"/>
      <c r="S9" s="105"/>
      <c r="T9" s="105"/>
      <c r="U9" s="105"/>
      <c r="V9" s="105"/>
      <c r="W9" s="105"/>
      <c r="X9" s="105"/>
      <c r="Y9" s="105"/>
      <c r="Z9" s="106"/>
    </row>
    <row r="10" spans="1:26" x14ac:dyDescent="0.25">
      <c r="A10" s="104"/>
      <c r="B10" s="105"/>
      <c r="C10" s="107" t="s">
        <v>123</v>
      </c>
      <c r="D10" s="105" t="s">
        <v>124</v>
      </c>
      <c r="E10" s="105"/>
      <c r="F10" s="105"/>
      <c r="G10" s="105"/>
      <c r="H10" s="105"/>
      <c r="I10" s="105"/>
      <c r="J10" s="105"/>
      <c r="K10" s="105"/>
      <c r="L10" s="105"/>
      <c r="M10" s="105"/>
      <c r="N10" s="105"/>
      <c r="O10" s="105"/>
      <c r="P10" s="105"/>
      <c r="Q10" s="105"/>
      <c r="R10" s="105"/>
      <c r="S10" s="105"/>
      <c r="T10" s="105"/>
      <c r="U10" s="105"/>
      <c r="V10" s="105"/>
      <c r="W10" s="105"/>
      <c r="X10" s="105"/>
      <c r="Y10" s="105"/>
      <c r="Z10" s="106"/>
    </row>
    <row r="11" spans="1:26" x14ac:dyDescent="0.25">
      <c r="A11" s="104"/>
      <c r="B11" s="105"/>
      <c r="C11" s="108">
        <v>30</v>
      </c>
      <c r="D11" s="105" t="s">
        <v>158</v>
      </c>
      <c r="E11" s="105"/>
      <c r="F11" s="105"/>
      <c r="G11" s="105"/>
      <c r="H11" s="105"/>
      <c r="I11" s="105"/>
      <c r="J11" s="105"/>
      <c r="K11" s="105"/>
      <c r="L11" s="105"/>
      <c r="M11" s="105"/>
      <c r="N11" s="105"/>
      <c r="O11" s="105"/>
      <c r="P11" s="105"/>
      <c r="Q11" s="105"/>
      <c r="R11" s="105"/>
      <c r="S11" s="105"/>
      <c r="T11" s="105"/>
      <c r="U11" s="105"/>
      <c r="V11" s="105"/>
      <c r="W11" s="105"/>
      <c r="X11" s="105"/>
      <c r="Y11" s="105"/>
      <c r="Z11" s="106"/>
    </row>
    <row r="12" spans="1:26" x14ac:dyDescent="0.25">
      <c r="A12" s="104"/>
      <c r="B12" s="105"/>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6"/>
    </row>
    <row r="13" spans="1:26" x14ac:dyDescent="0.25">
      <c r="A13" s="104" t="s">
        <v>156</v>
      </c>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6"/>
    </row>
    <row r="14" spans="1:26" x14ac:dyDescent="0.25">
      <c r="A14" s="104"/>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6"/>
    </row>
    <row r="15" spans="1:26" x14ac:dyDescent="0.25">
      <c r="A15" s="104" t="s">
        <v>131</v>
      </c>
      <c r="B15" s="105"/>
      <c r="C15" s="105" t="s">
        <v>153</v>
      </c>
      <c r="D15" s="105"/>
      <c r="E15" s="105"/>
      <c r="F15" s="105"/>
      <c r="G15" s="105"/>
      <c r="H15" s="105"/>
      <c r="I15" s="105"/>
      <c r="J15" s="105"/>
      <c r="K15" s="105"/>
      <c r="L15" s="105"/>
      <c r="M15" s="105"/>
      <c r="N15" s="105"/>
      <c r="O15" s="105"/>
      <c r="P15" s="105"/>
      <c r="Q15" s="105"/>
      <c r="R15" s="105"/>
      <c r="S15" s="105"/>
      <c r="T15" s="105"/>
      <c r="U15" s="105"/>
      <c r="V15" s="105"/>
      <c r="W15" s="105"/>
      <c r="X15" s="105"/>
      <c r="Y15" s="105"/>
      <c r="Z15" s="106"/>
    </row>
    <row r="16" spans="1:26" x14ac:dyDescent="0.25">
      <c r="A16" s="104"/>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6"/>
    </row>
    <row r="17" spans="1:26" x14ac:dyDescent="0.25">
      <c r="A17" s="104"/>
      <c r="B17" s="105" t="s">
        <v>152</v>
      </c>
      <c r="C17" s="105" t="s">
        <v>135</v>
      </c>
      <c r="D17" s="105"/>
      <c r="E17" s="105"/>
      <c r="F17" s="105" t="s">
        <v>137</v>
      </c>
      <c r="G17" s="105" t="s">
        <v>132</v>
      </c>
      <c r="H17" s="105"/>
      <c r="I17" s="105"/>
      <c r="J17" s="105" t="s">
        <v>133</v>
      </c>
      <c r="K17" s="105"/>
      <c r="L17" s="105"/>
      <c r="M17" s="105"/>
      <c r="N17" s="105"/>
      <c r="O17" s="105" t="s">
        <v>140</v>
      </c>
      <c r="P17" s="105"/>
      <c r="Q17" s="105"/>
      <c r="R17" s="105"/>
      <c r="S17" s="105"/>
      <c r="T17" s="105"/>
      <c r="U17" s="105"/>
      <c r="V17" s="105"/>
      <c r="W17" s="105"/>
      <c r="X17" s="105"/>
      <c r="Y17" s="105"/>
      <c r="Z17" s="106"/>
    </row>
    <row r="18" spans="1:26" x14ac:dyDescent="0.25">
      <c r="A18" s="104"/>
      <c r="B18" s="105"/>
      <c r="C18" s="105" t="s">
        <v>134</v>
      </c>
      <c r="D18" s="105"/>
      <c r="E18" s="105" t="s">
        <v>154</v>
      </c>
      <c r="F18" s="105"/>
      <c r="G18" s="105"/>
      <c r="H18" s="105"/>
      <c r="I18" s="105"/>
      <c r="J18" s="105" t="s">
        <v>143</v>
      </c>
      <c r="K18" s="105" t="s">
        <v>144</v>
      </c>
      <c r="L18" s="105"/>
      <c r="M18" s="105"/>
      <c r="N18" s="105" t="s">
        <v>141</v>
      </c>
      <c r="O18" s="105"/>
      <c r="P18" s="105"/>
      <c r="Q18" s="105"/>
      <c r="R18" s="105"/>
      <c r="S18" s="105"/>
      <c r="T18" s="105"/>
      <c r="U18" s="105"/>
      <c r="V18" s="105"/>
      <c r="W18" s="105"/>
      <c r="X18" s="105"/>
      <c r="Y18" s="105"/>
      <c r="Z18" s="106"/>
    </row>
    <row r="19" spans="1:26" x14ac:dyDescent="0.25">
      <c r="A19" s="104"/>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6"/>
    </row>
    <row r="20" spans="1:26" x14ac:dyDescent="0.25">
      <c r="A20" s="104"/>
      <c r="B20" s="105"/>
      <c r="C20" s="105"/>
      <c r="D20" s="105"/>
      <c r="E20" s="105"/>
      <c r="F20" s="105"/>
      <c r="G20" s="105"/>
      <c r="H20" s="100"/>
      <c r="I20" s="100"/>
      <c r="J20" s="105" t="s">
        <v>142</v>
      </c>
      <c r="K20" s="105"/>
      <c r="L20" s="105"/>
      <c r="M20" s="105"/>
      <c r="N20" s="105"/>
      <c r="O20" s="105"/>
      <c r="P20" s="105"/>
      <c r="Q20" s="105"/>
      <c r="R20" s="105"/>
      <c r="S20" s="105"/>
      <c r="T20" s="105"/>
      <c r="U20" s="105"/>
      <c r="V20" s="105"/>
      <c r="W20" s="105"/>
      <c r="X20" s="105"/>
      <c r="Y20" s="105"/>
      <c r="Z20" s="106"/>
    </row>
    <row r="21" spans="1:26" x14ac:dyDescent="0.25">
      <c r="A21" s="104"/>
      <c r="B21" s="105"/>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6"/>
    </row>
    <row r="22" spans="1:26" x14ac:dyDescent="0.25">
      <c r="A22" s="104"/>
      <c r="B22" s="105"/>
      <c r="C22" s="105" t="s">
        <v>138</v>
      </c>
      <c r="D22" s="105"/>
      <c r="E22" s="105"/>
      <c r="F22" s="105"/>
      <c r="G22" s="105" t="s">
        <v>136</v>
      </c>
      <c r="H22" s="105" t="s">
        <v>145</v>
      </c>
      <c r="I22" s="105"/>
      <c r="J22" s="105"/>
      <c r="K22" s="105" t="s">
        <v>146</v>
      </c>
      <c r="L22" s="105" t="s">
        <v>148</v>
      </c>
      <c r="M22" s="105"/>
      <c r="N22" s="105"/>
      <c r="O22" s="105"/>
      <c r="P22" s="105"/>
      <c r="Q22" s="105" t="s">
        <v>149</v>
      </c>
      <c r="R22" s="105"/>
      <c r="S22" s="105"/>
      <c r="T22" s="105" t="s">
        <v>151</v>
      </c>
      <c r="U22" s="105"/>
      <c r="V22" s="105"/>
      <c r="W22" s="105"/>
      <c r="X22" s="105"/>
      <c r="Y22" s="105"/>
      <c r="Z22" s="106"/>
    </row>
    <row r="23" spans="1:26" x14ac:dyDescent="0.25">
      <c r="A23" s="104"/>
      <c r="B23" s="105"/>
      <c r="C23" s="105" t="s">
        <v>147</v>
      </c>
      <c r="D23" s="105"/>
      <c r="E23" s="105"/>
      <c r="F23" s="105" t="s">
        <v>139</v>
      </c>
      <c r="G23" s="105"/>
      <c r="H23" s="105"/>
      <c r="I23" s="105"/>
      <c r="J23" s="105"/>
      <c r="K23" s="105" t="s">
        <v>146</v>
      </c>
      <c r="L23" s="105" t="s">
        <v>155</v>
      </c>
      <c r="M23" s="105"/>
      <c r="N23" s="105"/>
      <c r="O23" s="105"/>
      <c r="P23" s="105" t="s">
        <v>141</v>
      </c>
      <c r="Q23" s="105"/>
      <c r="R23" s="105"/>
      <c r="S23" s="105"/>
      <c r="T23" s="105" t="s">
        <v>150</v>
      </c>
      <c r="U23" s="105"/>
      <c r="V23" s="105"/>
      <c r="W23" s="105"/>
      <c r="X23" s="105"/>
      <c r="Y23" s="105"/>
      <c r="Z23" s="106"/>
    </row>
    <row r="24" spans="1:26" ht="15.75" thickBot="1" x14ac:dyDescent="0.3">
      <c r="A24" s="109"/>
      <c r="B24" s="110"/>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1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D1AAA-379C-4FD6-9634-071A52D499BB}">
  <dimension ref="A1:P13"/>
  <sheetViews>
    <sheetView workbookViewId="0"/>
  </sheetViews>
  <sheetFormatPr defaultRowHeight="15" x14ac:dyDescent="0.25"/>
  <cols>
    <col min="1" max="1" width="40.140625" bestFit="1" customWidth="1"/>
    <col min="2" max="2" width="9.28515625" bestFit="1" customWidth="1"/>
    <col min="3" max="3" width="11.85546875" bestFit="1" customWidth="1"/>
    <col min="4" max="4" width="9.28515625" bestFit="1" customWidth="1"/>
    <col min="5" max="6" width="11.85546875" bestFit="1" customWidth="1"/>
  </cols>
  <sheetData>
    <row r="1" spans="1:16" x14ac:dyDescent="0.25">
      <c r="A1" t="s">
        <v>34</v>
      </c>
      <c r="N1" t="s">
        <v>46</v>
      </c>
    </row>
    <row r="3" spans="1:16" x14ac:dyDescent="0.25">
      <c r="A3" t="s">
        <v>35</v>
      </c>
      <c r="B3">
        <v>600001</v>
      </c>
      <c r="C3">
        <v>600001</v>
      </c>
      <c r="D3">
        <v>600002</v>
      </c>
      <c r="E3">
        <v>600002</v>
      </c>
      <c r="N3" t="s">
        <v>47</v>
      </c>
      <c r="P3">
        <v>0.38</v>
      </c>
    </row>
    <row r="6" spans="1:16" x14ac:dyDescent="0.25">
      <c r="B6" s="113" t="s">
        <v>36</v>
      </c>
      <c r="C6" s="113"/>
      <c r="D6" s="113" t="s">
        <v>37</v>
      </c>
      <c r="E6" s="113"/>
      <c r="F6" s="114" t="s">
        <v>38</v>
      </c>
    </row>
    <row r="7" spans="1:16" x14ac:dyDescent="0.25">
      <c r="A7" s="16"/>
      <c r="B7" s="17" t="s">
        <v>4</v>
      </c>
      <c r="C7" s="17" t="s">
        <v>39</v>
      </c>
      <c r="D7" s="17" t="s">
        <v>4</v>
      </c>
      <c r="E7" s="17" t="s">
        <v>39</v>
      </c>
      <c r="F7" s="115"/>
    </row>
    <row r="8" spans="1:16" x14ac:dyDescent="0.25">
      <c r="A8" s="18" t="s">
        <v>40</v>
      </c>
      <c r="B8" s="19" t="e">
        <f>HLOOKUP(B3,output_collect!$C$4:$ZZ$58,13)*3</f>
        <v>#N/A</v>
      </c>
      <c r="C8" s="19" t="e">
        <f>HLOOKUP(C3,output_collect!$C$4:$ZZ$58,14)*3</f>
        <v>#N/A</v>
      </c>
      <c r="D8" s="19" t="e">
        <f>HLOOKUP(D3,output_collect!$C$4:$ZZ$58,13)*3</f>
        <v>#N/A</v>
      </c>
      <c r="E8" s="19" t="e">
        <f>HLOOKUP(E3,output_collect!$C$4:$ZZ$58,14)*3</f>
        <v>#N/A</v>
      </c>
      <c r="F8" s="23" t="e">
        <f>($P$3*HLOOKUP(D3,output_collect!$C$4:$ZZ$58,28)+(1-$P$3)*HLOOKUP(B3,output_collect!$C$4:$ZZ$58,28))/($P$3*HLOOKUP(D3,output_collect!$C$4:$ZZ$58,25) + (1-$P$3)*HLOOKUP(B3,output_collect!$C$4:$ZZ$58,25))*3</f>
        <v>#N/A</v>
      </c>
    </row>
    <row r="9" spans="1:16" x14ac:dyDescent="0.25">
      <c r="A9" s="18" t="s">
        <v>41</v>
      </c>
      <c r="B9" s="20" t="e">
        <f>HLOOKUP(B3,output_collect!$C$4:$ZZ$58,5)/3</f>
        <v>#N/A</v>
      </c>
      <c r="C9" s="20" t="e">
        <f>HLOOKUP(C3,output_collect!$C$4:$ZZ$58,6)/3</f>
        <v>#N/A</v>
      </c>
      <c r="D9" s="20" t="e">
        <f>HLOOKUP(D3,output_collect!$C$4:$ZZ$58,5)/3</f>
        <v>#N/A</v>
      </c>
      <c r="E9" s="20" t="e">
        <f>HLOOKUP(E3,output_collect!$C$4:$ZZ$58,6)/3</f>
        <v>#N/A</v>
      </c>
      <c r="F9" s="23" t="e">
        <f>HLOOKUP(B3,output_collect!$C$4:$ZZ$58,7)/3*(1-$P$3)+HLOOKUP(D3,output_collect!$C$4:$ZZ$58,7)/3*$P$3</f>
        <v>#N/A</v>
      </c>
    </row>
    <row r="10" spans="1:16" ht="15.75" x14ac:dyDescent="0.25">
      <c r="A10" s="21" t="s">
        <v>42</v>
      </c>
      <c r="B10" s="19" t="e">
        <f>(1+HLOOKUP(B3,output_collect!$C$4:$ZZ$58,10))^(1/3)-1</f>
        <v>#N/A</v>
      </c>
      <c r="C10" s="19" t="e">
        <f>(1+HLOOKUP(C3,output_collect!$C$4:$ZZ$58,11))^(1/3)-1</f>
        <v>#N/A</v>
      </c>
      <c r="D10" s="19" t="e">
        <f>(1+HLOOKUP(D3,output_collect!$C$4:$ZZ$58,10))^(1/3)-1</f>
        <v>#N/A</v>
      </c>
      <c r="E10" s="19" t="e">
        <f>(1+HLOOKUP(E3,output_collect!$C$4:$ZZ$58,11))^(1/3)-1</f>
        <v>#N/A</v>
      </c>
      <c r="F10" s="23" t="e">
        <f>(1+($P$3*HLOOKUP(D3,output_collect!$C$4:$ZZ$58,28)*HLOOKUP(D3,output_collect!$C$4:$ZZ$58,12)+(1-$P$3)*HLOOKUP(B3,output_collect!$C$4:$ZZ$58,28)*HLOOKUP(B3,output_collect!$C$4:$ZZ$58,12)) / ($P$3*HLOOKUP(D3,output_collect!$C$4:$ZZ$58,28)+(1-$P$3)*HLOOKUP(B3,output_collect!$C$4:$ZZ$58,28)))^(1/3)-1</f>
        <v>#N/A</v>
      </c>
    </row>
    <row r="11" spans="1:16" ht="15.75" x14ac:dyDescent="0.25">
      <c r="A11" s="21" t="s">
        <v>43</v>
      </c>
      <c r="B11" s="22" t="e">
        <f>HLOOKUP(B3,output_collect!$C$4:$ZZ$58,29)</f>
        <v>#N/A</v>
      </c>
      <c r="C11" s="22" t="e">
        <f>HLOOKUP(C3,output_collect!$C$4:$ZZ$58,30)</f>
        <v>#N/A</v>
      </c>
      <c r="D11" s="22" t="e">
        <f>HLOOKUP(D3,output_collect!$C$4:$ZZ$58,29)</f>
        <v>#N/A</v>
      </c>
      <c r="E11" s="22" t="e">
        <f>HLOOKUP(E3,output_collect!$C$4:$ZZ$58,30)</f>
        <v>#N/A</v>
      </c>
      <c r="F11" s="23" t="e">
        <f>HLOOKUP(B3,output_collect!$C$4:$ZZ$58,31)*(1-$P$3)+HLOOKUP(D3,output_collect!$C$4:$ZZ$58,31)*$P$3</f>
        <v>#N/A</v>
      </c>
    </row>
    <row r="12" spans="1:16" ht="15.75" x14ac:dyDescent="0.25">
      <c r="A12" s="21" t="s">
        <v>44</v>
      </c>
      <c r="C12" s="20" t="e">
        <f>HLOOKUP(C3,output_collect!$C$4:$ZZ$58,8)/3</f>
        <v>#N/A</v>
      </c>
      <c r="D12" s="20"/>
      <c r="E12" s="20" t="e">
        <f>HLOOKUP(E3,output_collect!$C$4:$ZZ$58,8)/3</f>
        <v>#N/A</v>
      </c>
      <c r="F12" s="23" t="e">
        <f>C12*(1-[1]Readme!$C$26)+E12*[1]Readme!$C$26</f>
        <v>#N/A</v>
      </c>
    </row>
    <row r="13" spans="1:16" ht="15.75" x14ac:dyDescent="0.25">
      <c r="A13" s="24" t="s">
        <v>45</v>
      </c>
      <c r="B13" s="16"/>
      <c r="C13" s="25" t="e">
        <f>(HLOOKUP(C3,output_collect!$C$4:$ZZ$58,50)+HLOOKUP(C3,output_collect!$C$4:$ZZ$58,51))/HLOOKUP(C3,output_collect!$C$4:$ZZ$58,27)</f>
        <v>#N/A</v>
      </c>
      <c r="D13" s="25"/>
      <c r="E13" s="25" t="e">
        <f>(HLOOKUP(E3,output_collect!$C$4:$ZZ$58,50)+HLOOKUP(E3,output_collect!$C$4:$ZZ$58,51))/HLOOKUP(E3,output_collect!$C$4:$ZZ$58,27)</f>
        <v>#N/A</v>
      </c>
      <c r="F13" s="26" t="e">
        <f>C13*(1-[1]Readme!$C$26)+E13*[1]Readme!$C$26</f>
        <v>#N/A</v>
      </c>
    </row>
  </sheetData>
  <mergeCells count="3">
    <mergeCell ref="B6:C6"/>
    <mergeCell ref="D6:E6"/>
    <mergeCell ref="F6:F7"/>
  </mergeCells>
  <pageMargins left="0.7" right="0.7" top="0.75" bottom="0.75" header="0.3" footer="0.3"/>
  <ignoredErrors>
    <ignoredError sqref="C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B35AF-96AB-4269-A1A5-62D6BF0E6C2B}">
  <dimension ref="A1:P19"/>
  <sheetViews>
    <sheetView workbookViewId="0"/>
  </sheetViews>
  <sheetFormatPr defaultRowHeight="15" x14ac:dyDescent="0.25"/>
  <cols>
    <col min="1" max="1" width="40.140625" bestFit="1" customWidth="1"/>
    <col min="2" max="2" width="9.28515625" bestFit="1" customWidth="1"/>
    <col min="3" max="3" width="11.85546875" bestFit="1" customWidth="1"/>
    <col min="4" max="4" width="9.28515625" bestFit="1" customWidth="1"/>
    <col min="5" max="6" width="11.85546875" bestFit="1" customWidth="1"/>
    <col min="14" max="14" width="14.7109375" customWidth="1"/>
    <col min="15" max="15" width="11.5703125" customWidth="1"/>
  </cols>
  <sheetData>
    <row r="1" spans="1:16" x14ac:dyDescent="0.25">
      <c r="A1" t="s">
        <v>48</v>
      </c>
      <c r="N1" t="s">
        <v>46</v>
      </c>
    </row>
    <row r="3" spans="1:16" x14ac:dyDescent="0.25">
      <c r="A3" t="s">
        <v>35</v>
      </c>
      <c r="B3">
        <v>610001</v>
      </c>
      <c r="C3">
        <v>610021</v>
      </c>
      <c r="D3">
        <v>610011</v>
      </c>
      <c r="E3">
        <v>600001</v>
      </c>
      <c r="N3" t="s">
        <v>49</v>
      </c>
      <c r="P3">
        <f>0.15*0.38/(0.31*0.62+0.15*0.38)</f>
        <v>0.22873194221508825</v>
      </c>
    </row>
    <row r="4" spans="1:16" x14ac:dyDescent="0.25">
      <c r="B4">
        <v>610002</v>
      </c>
      <c r="C4">
        <v>610022</v>
      </c>
      <c r="D4">
        <v>610012</v>
      </c>
      <c r="E4">
        <v>600002</v>
      </c>
    </row>
    <row r="6" spans="1:16" ht="15.75" x14ac:dyDescent="0.25">
      <c r="A6" s="28"/>
      <c r="B6" s="29" t="s">
        <v>50</v>
      </c>
      <c r="C6" s="29" t="s">
        <v>51</v>
      </c>
      <c r="D6" s="29" t="s">
        <v>52</v>
      </c>
      <c r="E6" s="44" t="s">
        <v>53</v>
      </c>
      <c r="F6" s="116"/>
    </row>
    <row r="7" spans="1:16" x14ac:dyDescent="0.25">
      <c r="A7" s="27" t="s">
        <v>54</v>
      </c>
      <c r="B7" s="27" t="s">
        <v>55</v>
      </c>
      <c r="C7" s="27" t="s">
        <v>56</v>
      </c>
      <c r="D7" s="40" t="s">
        <v>56</v>
      </c>
      <c r="E7" s="45" t="s">
        <v>56</v>
      </c>
      <c r="F7" s="116"/>
    </row>
    <row r="8" spans="1:16" x14ac:dyDescent="0.25">
      <c r="A8" s="27" t="s">
        <v>57</v>
      </c>
      <c r="B8" s="27" t="s">
        <v>58</v>
      </c>
      <c r="C8" s="27" t="s">
        <v>58</v>
      </c>
      <c r="D8" s="40" t="s">
        <v>59</v>
      </c>
      <c r="E8" s="45" t="s">
        <v>59</v>
      </c>
      <c r="F8" s="38"/>
    </row>
    <row r="9" spans="1:16" x14ac:dyDescent="0.25">
      <c r="A9" s="30" t="s">
        <v>60</v>
      </c>
      <c r="B9" s="30" t="s">
        <v>61</v>
      </c>
      <c r="C9" s="30" t="s">
        <v>61</v>
      </c>
      <c r="D9" s="30" t="s">
        <v>61</v>
      </c>
      <c r="E9" s="46" t="s">
        <v>62</v>
      </c>
      <c r="F9" s="38"/>
    </row>
    <row r="10" spans="1:16" x14ac:dyDescent="0.25">
      <c r="A10" s="27" t="s">
        <v>40</v>
      </c>
      <c r="B10" s="31" t="e">
        <f>($P$3*HLOOKUP(B$4,output_collect!$C$4:$ZZ$58,26)+(1-$P$3)*HLOOKUP(B$3,output_collect!$C$4:$ZZ$58,26))/($P$3*HLOOKUP(B$4,output_collect!$C$4:$ZZ$58,23)+(1-$P$3)*HLOOKUP(B$3,output_collect!$C$4:$ZZ$58,23))*3</f>
        <v>#N/A</v>
      </c>
      <c r="C10" s="31" t="e">
        <f>($P$3*HLOOKUP(C$4,output_collect!$C$4:$ZZ$58,27)+(1-$P$3)*HLOOKUP(C$3,output_collect!$C$4:$ZZ$58,27))/($P$3*HLOOKUP(C$4,output_collect!$C$4:$ZZ$58,24)+(1-$P$3)*HLOOKUP(C$3,output_collect!$C$4:$ZZ$58,24))*3</f>
        <v>#N/A</v>
      </c>
      <c r="D10" s="41" t="e">
        <f>($P$3*HLOOKUP(D$4,output_collect!$C$4:$ZZ$58,27)+(1-$P$3)*HLOOKUP(D$3,output_collect!$C$4:$ZZ$58,27))/($P$3*HLOOKUP(D$4,output_collect!$C$4:$ZZ$58,24)+(1-$P$3)*HLOOKUP(D$3,output_collect!$C$4:$ZZ$58,24))*3</f>
        <v>#N/A</v>
      </c>
      <c r="E10" s="47" t="e">
        <f>($P$3*HLOOKUP(E$4,output_collect!$C$4:$ZZ$58,27)+(1-$P$3)*HLOOKUP(E$3,output_collect!$C$4:$ZZ$58,27))/($P$3*HLOOKUP(E$4,output_collect!$C$4:$ZZ$58,24)+(1-$P$3)*HLOOKUP(E$3,output_collect!$C$4:$ZZ$58,24))*3</f>
        <v>#N/A</v>
      </c>
      <c r="F10" s="38"/>
    </row>
    <row r="11" spans="1:16" x14ac:dyDescent="0.25">
      <c r="A11" s="27" t="s">
        <v>41</v>
      </c>
      <c r="B11" s="32" t="e">
        <f>($P$3*HLOOKUP(B$4,output_collect!$C$4:$ZZ$58,5)+(1-$P$3)*HLOOKUP(B$3,output_collect!$C$4:$ZZ$58,5))/3</f>
        <v>#N/A</v>
      </c>
      <c r="C11" s="32" t="e">
        <f>($P$3*HLOOKUP(C$4,output_collect!$C$4:$ZZ$58,6)+(1-$P$3)*HLOOKUP(C$3,output_collect!$C$4:$ZZ$58,6))/3</f>
        <v>#N/A</v>
      </c>
      <c r="D11" s="42" t="e">
        <f>($P$3*HLOOKUP(D$4,output_collect!$C$4:$ZZ$58,6)+(1-$P$3)*HLOOKUP(D$3,output_collect!$C$4:$ZZ$58,6))/3</f>
        <v>#N/A</v>
      </c>
      <c r="E11" s="48" t="e">
        <f>($P$3*HLOOKUP(E$4,output_collect!$C$4:$ZZ$58,6)+(1-$P$3)*HLOOKUP(E$3,output_collect!$C$4:$ZZ$58,6))/3</f>
        <v>#N/A</v>
      </c>
      <c r="F11" s="38"/>
    </row>
    <row r="12" spans="1:16" ht="15.75" x14ac:dyDescent="0.25">
      <c r="A12" s="33" t="s">
        <v>63</v>
      </c>
      <c r="B12" s="32" t="e">
        <f>(1+($P$3*HLOOKUP(B$4,output_collect!$C$4:$ZZ$58,26)*HLOOKUP(B$4,output_collect!$C$4:$ZZ$58,10)+(1-$P$3)*HLOOKUP(B$3,output_collect!$C$4:$ZZ$58,26)*HLOOKUP(B$3,output_collect!$C$4:$ZZ$58,10))/($P$3*HLOOKUP(B$4,output_collect!$C$4:$ZZ$58,26)+(1-$P$3)*HLOOKUP(B$3,output_collect!$C$4:$ZZ$58,26)))^(1/3)-1</f>
        <v>#N/A</v>
      </c>
      <c r="C12" s="32" t="e">
        <f>(1+($P$3*HLOOKUP(C$4,output_collect!$C$4:$ZZ$58,27)*HLOOKUP(C$4,output_collect!$C$4:$ZZ$58,11)+(1-$P$3)*HLOOKUP(C$3,output_collect!$C$4:$ZZ$58,27)*HLOOKUP(C$3,output_collect!$C$4:$ZZ$58,11))/($P$3*HLOOKUP(C$4,output_collect!$C$4:$ZZ$58,27)+(1-$P$3)*HLOOKUP(C$3,output_collect!$C$4:$ZZ$58,27)))^(1/3)-1</f>
        <v>#N/A</v>
      </c>
      <c r="D12" s="42" t="e">
        <f>(1+($P$3*HLOOKUP(D$4,output_collect!$C$4:$ZZ$58,27)*HLOOKUP(D$4,output_collect!$C$4:$ZZ$58,11)+(1-$P$3)*HLOOKUP(D$3,output_collect!$C$4:$ZZ$58,27)*HLOOKUP(D$3,output_collect!$C$4:$ZZ$58,11))/($P$3*HLOOKUP(D$4,output_collect!$C$4:$ZZ$58,27)+(1-$P$3)*HLOOKUP(D$3,output_collect!$C$4:$ZZ$58,27)))^(1/3)-1</f>
        <v>#N/A</v>
      </c>
      <c r="E12" s="48" t="e">
        <f>(1+($P$3*HLOOKUP(E$4,output_collect!$C$4:$ZZ$58,27)*HLOOKUP(E$4,output_collect!$C$4:$ZZ$58,11)+(1-$P$3)*HLOOKUP(E$3,output_collect!$C$4:$ZZ$58,27)*HLOOKUP(E$3,output_collect!$C$4:$ZZ$58,11))/($P$3*HLOOKUP(E$4,output_collect!$C$4:$ZZ$58,27)+(1-$P$3)*HLOOKUP(E$3,output_collect!$C$4:$ZZ$58,27)))^(1/3)-1</f>
        <v>#N/A</v>
      </c>
      <c r="F12" s="38"/>
    </row>
    <row r="13" spans="1:16" ht="15.75" x14ac:dyDescent="0.25">
      <c r="A13" s="33" t="s">
        <v>64</v>
      </c>
      <c r="B13" s="34" t="e">
        <f>HLOOKUP(B3,output_collect!$C$4:$ZZ$58,29)*(1-$P$3)+HLOOKUP(B4,output_collect!$C$4:$ZZ$58,29)*$P$3</f>
        <v>#N/A</v>
      </c>
      <c r="C13" s="34" t="e">
        <f>HLOOKUP(C3,output_collect!$C$4:$ZZ$58,30)*(1-$P$3)+HLOOKUP(C4,output_collect!$C$4:$ZZ$58,30)*$P$3</f>
        <v>#N/A</v>
      </c>
      <c r="D13" s="43" t="e">
        <f>HLOOKUP(D3,output_collect!$C$4:$ZZ$58,30)*(1-$P$3)+HLOOKUP(D4,output_collect!$C$4:$ZZ$58,30)*$P$3</f>
        <v>#N/A</v>
      </c>
      <c r="E13" s="49" t="e">
        <f>HLOOKUP(E3,output_collect!$C$4:$ZZ$58,30)*(1-$P$3)+HLOOKUP(E4,output_collect!$C$4:$ZZ$58,30)*$P$3</f>
        <v>#N/A</v>
      </c>
      <c r="F13" s="38"/>
    </row>
    <row r="14" spans="1:16" ht="15.75" x14ac:dyDescent="0.25">
      <c r="A14" s="33" t="s">
        <v>65</v>
      </c>
      <c r="B14" s="32" t="e">
        <f>(HLOOKUP(B4,output_collect!$C$4:$ZZ$58,5)*$P$3+HLOOKUP(B3,output_collect!$C$4:$ZZ$58,5)*(1-$P$3))/((HLOOKUP(B4,output_collect!$C$4:$ZZ$58,32)*$P$3 +HLOOKUP(B3,output_collect!$C$4:$ZZ$58,32)*( 1-$P$3))*3)</f>
        <v>#N/A</v>
      </c>
      <c r="C14" s="32" t="e">
        <f>(HLOOKUP(C4,output_collect!$C$4:$ZZ$58,6)*$P$3+HLOOKUP(C3,output_collect!$C$4:$ZZ$58,6)*(1-$P$3))/((HLOOKUP(C4,output_collect!$C$4:$ZZ$58,33)*$P$3 +HLOOKUP(C3,output_collect!$C$4:$ZZ$58,33)*( 1-$P$3))*3)</f>
        <v>#N/A</v>
      </c>
      <c r="D14" s="42" t="e">
        <f>(HLOOKUP(D4,output_collect!$C$4:$ZZ$58,6)*$P$3+HLOOKUP(D3,output_collect!$C$4:$ZZ$58,6)*(1-$P$3))/((HLOOKUP(D4,output_collect!$C$4:$ZZ$58,33)*$P$3 +HLOOKUP(D3,output_collect!$C$4:$ZZ$58,33)*( 1-$P$3))*3)</f>
        <v>#N/A</v>
      </c>
      <c r="E14" s="48" t="e">
        <f>(HLOOKUP(E4,output_collect!$C$4:$ZZ$58,6)*$P$3+HLOOKUP(E3,output_collect!$C$4:$ZZ$58,6)*(1-$P$3))/((HLOOKUP(E4,output_collect!$C$4:$ZZ$58,33)*$P$3 +HLOOKUP(E3,output_collect!$C$4:$ZZ$58,33)*( 1-$P$3))*3)</f>
        <v>#N/A</v>
      </c>
      <c r="F14" s="39"/>
    </row>
    <row r="15" spans="1:16" ht="15.75" x14ac:dyDescent="0.25">
      <c r="A15" s="33" t="s">
        <v>11</v>
      </c>
      <c r="B15" s="34" t="e">
        <f>(HLOOKUP(B3,output_collect!$C$4:$ZZ$58,20)*HLOOKUP(B3,output_collect!$C$4:$ZZ$58,35)*(1-$P$3) +HLOOKUP(B4,output_collect!$C$4:$ZZ$58,20)*HLOOKUP(B4,output_collect!$C$4:$ZZ$58,35)*$P$3)/(HLOOKUP(B3,output_collect!$C$4:$ZZ$58,35)*(1-$P$3) +HLOOKUP(B4,output_collect!$C$4:$ZZ$58,35)* $P$3)*3</f>
        <v>#N/A</v>
      </c>
      <c r="C15" s="34" t="e">
        <f>(HLOOKUP(C3,output_collect!$C$4:$ZZ$58,21)*HLOOKUP(C3,output_collect!$C$4:$ZZ$58,36)*(1-$P$3) +HLOOKUP(C4,output_collect!$C$4:$ZZ$58,21)*HLOOKUP(C4,output_collect!$C$4:$ZZ$58,36)*$P$3)/(HLOOKUP(C3,output_collect!$C$4:$ZZ$58,36)*(1-$P$3) +HLOOKUP(C4,output_collect!$C$4:$ZZ$58,36)* $P$3)*3</f>
        <v>#N/A</v>
      </c>
      <c r="D15" s="43" t="e">
        <f>(HLOOKUP(D3,output_collect!$C$4:$ZZ$58,21)*HLOOKUP(D3,output_collect!$C$4:$ZZ$58,36)*(1-$P$3) +HLOOKUP(D4,output_collect!$C$4:$ZZ$58,21)*HLOOKUP(D4,output_collect!$C$4:$ZZ$58,36)*$P$3)/(HLOOKUP(D3,output_collect!$C$4:$ZZ$58,36)*(1-$P$3) +HLOOKUP(D4,output_collect!$C$4:$ZZ$58,36)* $P$3)*3</f>
        <v>#N/A</v>
      </c>
      <c r="E15" s="49" t="e">
        <f>(HLOOKUP(E3,output_collect!$C$4:$ZZ$58,21)*HLOOKUP(E3,output_collect!$C$4:$ZZ$58,36)*(1-$P$3) +HLOOKUP(E4,output_collect!$C$4:$ZZ$58,21)*HLOOKUP(E4,output_collect!$C$4:$ZZ$58,36)*$P$3)/(HLOOKUP(E3,output_collect!$C$4:$ZZ$58,36)*(1-$P$3) +HLOOKUP(E4,output_collect!$C$4:$ZZ$58,36)* $P$3)*3</f>
        <v>#N/A</v>
      </c>
      <c r="F15" s="39"/>
    </row>
    <row r="16" spans="1:16" ht="15.75" x14ac:dyDescent="0.25">
      <c r="A16" s="33" t="s">
        <v>44</v>
      </c>
      <c r="B16" s="3"/>
      <c r="C16" s="3"/>
      <c r="D16" s="42" t="e">
        <f>(HLOOKUP(D3,output_collect!$C$4:$ZZ$58,8)*(1-$P$3)+HLOOKUP(D4,output_collect!$C$4:$ZZ$58,8)*$P$3)/3</f>
        <v>#N/A</v>
      </c>
      <c r="E16" s="48" t="e">
        <f>(HLOOKUP(E3,output_collect!$C$4:$ZZ$58,8)*(1-$P$3)+HLOOKUP(E4,output_collect!$C$4:$ZZ$58,8)*$P$3)/3</f>
        <v>#N/A</v>
      </c>
      <c r="F16" s="39"/>
    </row>
    <row r="17" spans="1:6" ht="15.75" x14ac:dyDescent="0.25">
      <c r="A17" s="33" t="s">
        <v>66</v>
      </c>
      <c r="B17" s="3"/>
      <c r="C17" s="3"/>
      <c r="D17" s="42" t="e">
        <f>((HLOOKUP(D3,output_collect!$C$4:$ZZ$58,50)+HLOOKUP(D3,output_collect!$C$4:$ZZ$58,51))*(1-$P$3)+(HLOOKUP(D4,output_collect!$C$4:$ZZ$58,50)+HLOOKUP(D4,output_collect!$C$4:$ZZ$58,51))*$P$3)/(HLOOKUP(D3,output_collect!$C$4:$ZZ$58,27)*(1-$P$3)+HLOOKUP(D4,output_collect!$C$4:$ZZ$58,27)*$P$3)</f>
        <v>#N/A</v>
      </c>
      <c r="E17" s="48" t="e">
        <f>((HLOOKUP(E3,output_collect!$C$4:$ZZ$58,50)+HLOOKUP(E3,output_collect!$C$4:$ZZ$58,51))*(1-$P$3)+(HLOOKUP(E4,output_collect!$C$4:$ZZ$58,50)+HLOOKUP(E4,output_collect!$C$4:$ZZ$58,51))*$P$3)/(HLOOKUP(E3,output_collect!$C$4:$ZZ$58,27)*(1-$P$3)+HLOOKUP(E4,output_collect!$C$4:$ZZ$58,27)*$P$3)</f>
        <v>#N/A</v>
      </c>
      <c r="F17" s="39"/>
    </row>
    <row r="18" spans="1:6" ht="15.75" x14ac:dyDescent="0.25">
      <c r="A18" s="33"/>
      <c r="B18" s="3"/>
      <c r="C18" s="3"/>
      <c r="D18" s="42"/>
      <c r="E18" s="48"/>
      <c r="F18" s="39"/>
    </row>
    <row r="19" spans="1:6" ht="15.75" x14ac:dyDescent="0.25">
      <c r="A19" s="35"/>
      <c r="B19" s="36"/>
      <c r="C19" s="36"/>
      <c r="D19" s="37"/>
      <c r="E19" s="50" t="e">
        <f>($P$3*(HLOOKUP(D$4,output_collect!$C$4:$ZZ$58,55)/HLOOKUP(E$4,output_collect!$C$4:$ZZ$58,55)-1)+(1-$P$3)*(HLOOKUP(D$3,output_collect!$C$4:$ZZ$58,55)/HLOOKUP(E$3,output_collect!$C$4:$ZZ$58,55)-1))</f>
        <v>#N/A</v>
      </c>
      <c r="F19" s="39"/>
    </row>
  </sheetData>
  <mergeCells count="1">
    <mergeCell ref="F6: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C860D-DF99-4B19-B1C3-D9E1CC9B90E8}">
  <dimension ref="A1:P23"/>
  <sheetViews>
    <sheetView workbookViewId="0"/>
  </sheetViews>
  <sheetFormatPr defaultRowHeight="15" x14ac:dyDescent="0.25"/>
  <cols>
    <col min="1" max="1" width="40.140625" bestFit="1" customWidth="1"/>
    <col min="2" max="2" width="12.5703125" bestFit="1" customWidth="1"/>
    <col min="3" max="3" width="16.28515625" bestFit="1" customWidth="1"/>
    <col min="4" max="4" width="12.5703125" bestFit="1" customWidth="1"/>
    <col min="5" max="5" width="16.28515625" bestFit="1" customWidth="1"/>
    <col min="6" max="6" width="11.85546875" bestFit="1" customWidth="1"/>
    <col min="14" max="14" width="14.7109375" customWidth="1"/>
    <col min="15" max="15" width="11.5703125" customWidth="1"/>
  </cols>
  <sheetData>
    <row r="1" spans="1:16" x14ac:dyDescent="0.25">
      <c r="A1" s="73" t="s">
        <v>76</v>
      </c>
      <c r="N1" t="s">
        <v>46</v>
      </c>
    </row>
    <row r="3" spans="1:16" x14ac:dyDescent="0.25">
      <c r="A3" t="s">
        <v>35</v>
      </c>
      <c r="B3">
        <v>600001</v>
      </c>
      <c r="C3">
        <v>610001</v>
      </c>
      <c r="D3">
        <v>600002</v>
      </c>
      <c r="E3">
        <v>610002</v>
      </c>
      <c r="N3" t="s">
        <v>74</v>
      </c>
      <c r="P3">
        <v>0.31</v>
      </c>
    </row>
    <row r="4" spans="1:16" x14ac:dyDescent="0.25">
      <c r="C4">
        <v>610021</v>
      </c>
      <c r="E4">
        <v>610022</v>
      </c>
      <c r="N4" t="s">
        <v>75</v>
      </c>
      <c r="P4">
        <v>0.15</v>
      </c>
    </row>
    <row r="6" spans="1:16" ht="15.75" x14ac:dyDescent="0.25">
      <c r="A6" s="67"/>
      <c r="B6" s="121" t="s">
        <v>36</v>
      </c>
      <c r="C6" s="121"/>
      <c r="D6" s="121" t="s">
        <v>37</v>
      </c>
      <c r="E6" s="122"/>
      <c r="F6" s="120"/>
    </row>
    <row r="7" spans="1:16" ht="15.75" x14ac:dyDescent="0.25">
      <c r="A7" s="68"/>
      <c r="B7" s="51" t="s">
        <v>67</v>
      </c>
      <c r="C7" s="51" t="s">
        <v>68</v>
      </c>
      <c r="D7" s="51" t="s">
        <v>67</v>
      </c>
      <c r="E7" s="69" t="s">
        <v>68</v>
      </c>
      <c r="F7" s="120"/>
    </row>
    <row r="8" spans="1:16" ht="15.75" x14ac:dyDescent="0.25">
      <c r="A8" s="117" t="s">
        <v>69</v>
      </c>
      <c r="B8" s="118"/>
      <c r="C8" s="118"/>
      <c r="D8" s="118"/>
      <c r="E8" s="119"/>
      <c r="F8" s="65"/>
    </row>
    <row r="9" spans="1:16" x14ac:dyDescent="0.25">
      <c r="A9" s="58" t="s">
        <v>70</v>
      </c>
      <c r="B9" s="70" t="e">
        <f>HLOOKUP(B$3,output_collect!$C$4:$ZZ$58,13)*3</f>
        <v>#N/A</v>
      </c>
      <c r="C9" s="70" t="e">
        <f>HLOOKUP(C$3,output_collect!$C$4:$ZZ$58,13)*3</f>
        <v>#N/A</v>
      </c>
      <c r="D9" s="70" t="e">
        <f>HLOOKUP(D$3,output_collect!$C$4:$ZZ$58,13)*3</f>
        <v>#N/A</v>
      </c>
      <c r="E9" s="71" t="e">
        <f>HLOOKUP(E$3,output_collect!$C$4:$ZZ$58,13)*3</f>
        <v>#N/A</v>
      </c>
      <c r="F9" s="65"/>
    </row>
    <row r="10" spans="1:16" x14ac:dyDescent="0.25">
      <c r="A10" s="58" t="s">
        <v>39</v>
      </c>
      <c r="B10" s="70" t="e">
        <f>HLOOKUP(B$3,output_collect!$C$4:$ZZ$58,14)*3</f>
        <v>#N/A</v>
      </c>
      <c r="C10" s="70" t="e">
        <f>HLOOKUP(C$4,output_collect!$C$4:$ZZ$58,14)*3</f>
        <v>#N/A</v>
      </c>
      <c r="D10" s="70" t="e">
        <f>HLOOKUP(D$3,output_collect!$C$4:$ZZ$58,14)*3</f>
        <v>#N/A</v>
      </c>
      <c r="E10" s="71" t="e">
        <f>HLOOKUP(E$4,output_collect!$C$4:$ZZ$58,14)*3</f>
        <v>#N/A</v>
      </c>
      <c r="F10" s="65"/>
    </row>
    <row r="11" spans="1:16" x14ac:dyDescent="0.25">
      <c r="A11" s="62" t="s">
        <v>5</v>
      </c>
      <c r="B11" s="70" t="e">
        <f>HLOOKUP(B$3,output_collect!$C$4:$ZZ$58,15)*3</f>
        <v>#N/A</v>
      </c>
      <c r="C11" s="55" t="e">
        <f>(1-$P$3)*C9+$P$3*C10</f>
        <v>#N/A</v>
      </c>
      <c r="D11" s="70" t="e">
        <f>HLOOKUP(D$3,output_collect!$C$4:$ZZ$58,15)*3</f>
        <v>#N/A</v>
      </c>
      <c r="E11" s="72" t="e">
        <f>(1-$P$4)*E9+$P$4*E10</f>
        <v>#N/A</v>
      </c>
      <c r="F11" s="65"/>
    </row>
    <row r="12" spans="1:16" ht="15.75" x14ac:dyDescent="0.25">
      <c r="A12" s="117" t="s">
        <v>71</v>
      </c>
      <c r="B12" s="118"/>
      <c r="C12" s="118"/>
      <c r="D12" s="118"/>
      <c r="E12" s="119"/>
      <c r="F12" s="65"/>
    </row>
    <row r="13" spans="1:16" x14ac:dyDescent="0.25">
      <c r="A13" s="58" t="s">
        <v>70</v>
      </c>
      <c r="B13" s="70" t="e">
        <f>HLOOKUP(B$3,output_collect!$C$4:$ZZ$58,5)/3</f>
        <v>#N/A</v>
      </c>
      <c r="C13" s="70" t="e">
        <f>HLOOKUP(C$3,output_collect!$C$4:$ZZ$58,5)/3</f>
        <v>#N/A</v>
      </c>
      <c r="D13" s="70" t="e">
        <f>HLOOKUP(D$3,output_collect!$C$4:$ZZ$58,5)/3</f>
        <v>#N/A</v>
      </c>
      <c r="E13" s="71" t="e">
        <f>HLOOKUP(E$3,output_collect!$C$4:$ZZ$58,5)/3</f>
        <v>#N/A</v>
      </c>
      <c r="F13" s="65"/>
    </row>
    <row r="14" spans="1:16" x14ac:dyDescent="0.25">
      <c r="A14" s="58" t="s">
        <v>39</v>
      </c>
      <c r="B14" s="70" t="e">
        <f>HLOOKUP(B$3,output_collect!$C$4:$ZZ$58,6)/3</f>
        <v>#N/A</v>
      </c>
      <c r="C14" s="70" t="e">
        <f>HLOOKUP(C$4,output_collect!$C$4:$ZZ$58,6)/3</f>
        <v>#N/A</v>
      </c>
      <c r="D14" s="70" t="e">
        <f>HLOOKUP(D$3,output_collect!$C$4:$ZZ$58,6)/3</f>
        <v>#N/A</v>
      </c>
      <c r="E14" s="71" t="e">
        <f>HLOOKUP(E$4,output_collect!$C$4:$ZZ$58,6)/3</f>
        <v>#N/A</v>
      </c>
      <c r="F14" s="66"/>
    </row>
    <row r="15" spans="1:16" x14ac:dyDescent="0.25">
      <c r="A15" s="62" t="s">
        <v>5</v>
      </c>
      <c r="B15" s="70" t="e">
        <f>HLOOKUP(B$3,output_collect!$C$4:$ZZ$58,7)/3</f>
        <v>#N/A</v>
      </c>
      <c r="C15" s="55" t="e">
        <f>(1-$P$3)*C13+$P$3*C14</f>
        <v>#N/A</v>
      </c>
      <c r="D15" s="70" t="e">
        <f>HLOOKUP(D$3,output_collect!$C$4:$ZZ$58,7)/3</f>
        <v>#N/A</v>
      </c>
      <c r="E15" s="72" t="e">
        <f>(1-$P$4)*E13+$P$4*E14</f>
        <v>#N/A</v>
      </c>
      <c r="F15" s="66"/>
    </row>
    <row r="16" spans="1:16" ht="15.75" x14ac:dyDescent="0.25">
      <c r="A16" s="117" t="s">
        <v>72</v>
      </c>
      <c r="B16" s="118"/>
      <c r="C16" s="118"/>
      <c r="D16" s="118"/>
      <c r="E16" s="119"/>
      <c r="F16" s="66"/>
    </row>
    <row r="17" spans="1:6" x14ac:dyDescent="0.25">
      <c r="A17" s="58" t="s">
        <v>70</v>
      </c>
      <c r="B17" s="70" t="e">
        <f>(1+HLOOKUP(B$3,output_collect!$C$4:$ZZ$58,10))^(1/3)-1</f>
        <v>#N/A</v>
      </c>
      <c r="C17" s="70" t="e">
        <f>(1+HLOOKUP(C$3,output_collect!$C$4:$ZZ$58,10))^(1/3)-1</f>
        <v>#N/A</v>
      </c>
      <c r="D17" s="70" t="e">
        <f>(1+HLOOKUP(D$3,output_collect!$C$4:$ZZ$58,10))^(1/3)-1</f>
        <v>#N/A</v>
      </c>
      <c r="E17" s="71" t="e">
        <f>(1+HLOOKUP(E$3,output_collect!$C$4:$ZZ$58,10))^(1/3)-1</f>
        <v>#N/A</v>
      </c>
      <c r="F17" s="66"/>
    </row>
    <row r="18" spans="1:6" x14ac:dyDescent="0.25">
      <c r="A18" s="58" t="s">
        <v>39</v>
      </c>
      <c r="B18" s="70" t="e">
        <f>(1+HLOOKUP(B$3,output_collect!$C$4:$ZZ$58,11))^(1/3)-1</f>
        <v>#N/A</v>
      </c>
      <c r="C18" s="70" t="e">
        <f>(1+HLOOKUP(C$4,output_collect!$C$4:$ZZ$58,11))^(1/3)-1</f>
        <v>#N/A</v>
      </c>
      <c r="D18" s="70" t="e">
        <f>(1+HLOOKUP(D$3,output_collect!$C$4:$ZZ$58,11))^(1/3)-1</f>
        <v>#N/A</v>
      </c>
      <c r="E18" s="71" t="e">
        <f>(1+HLOOKUP(E$4,output_collect!$C$4:$ZZ$58,11))^(1/3)-1</f>
        <v>#N/A</v>
      </c>
      <c r="F18" s="66"/>
    </row>
    <row r="19" spans="1:6" x14ac:dyDescent="0.25">
      <c r="A19" s="62" t="s">
        <v>5</v>
      </c>
      <c r="B19" s="70" t="e">
        <f>(1+HLOOKUP(B$3,output_collect!$C$4:$ZZ$58,12))^(1/3)-1</f>
        <v>#N/A</v>
      </c>
      <c r="C19" s="55" t="e">
        <f>(1-$P$3)*C17+$P$3*C18</f>
        <v>#N/A</v>
      </c>
      <c r="D19" s="70" t="e">
        <f>(1+HLOOKUP(D$3,output_collect!$C$4:$ZZ$58,12))^(1/3)-1</f>
        <v>#N/A</v>
      </c>
      <c r="E19" s="72" t="e">
        <f>(1-$P$4)*E17+$P$4*E18</f>
        <v>#N/A</v>
      </c>
      <c r="F19" s="66"/>
    </row>
    <row r="20" spans="1:6" ht="15.75" x14ac:dyDescent="0.25">
      <c r="A20" s="117" t="s">
        <v>73</v>
      </c>
      <c r="B20" s="118"/>
      <c r="C20" s="118"/>
      <c r="D20" s="118"/>
      <c r="E20" s="119"/>
      <c r="F20" s="66"/>
    </row>
    <row r="21" spans="1:6" x14ac:dyDescent="0.25">
      <c r="A21" s="58" t="s">
        <v>70</v>
      </c>
      <c r="B21" s="59"/>
      <c r="C21" s="60" t="e">
        <f>HLOOKUP(B$3,output_collect!$C$4:$ZZ$58,54)/HLOOKUP(C$3,output_collect!$C$4:$ZZ$58,54) - 1</f>
        <v>#N/A</v>
      </c>
      <c r="D21" s="59"/>
      <c r="E21" s="61" t="e">
        <f>HLOOKUP(D$3,output_collect!$C$4:$ZZ$58,54)/HLOOKUP(E$3,output_collect!$C$4:$ZZ$58,54) - 1</f>
        <v>#N/A</v>
      </c>
      <c r="F21" s="66"/>
    </row>
    <row r="22" spans="1:6" x14ac:dyDescent="0.25">
      <c r="A22" s="58" t="s">
        <v>39</v>
      </c>
      <c r="B22" s="59"/>
      <c r="C22" s="60" t="e">
        <f>HLOOKUP(B$3,output_collect!$C$4:$ZZ$58,55)/HLOOKUP(C$4,output_collect!$C$4:$ZZ$58,55) - 1</f>
        <v>#N/A</v>
      </c>
      <c r="D22" s="59"/>
      <c r="E22" s="61" t="e">
        <f>HLOOKUP(D$3,output_collect!$C$4:$ZZ$58,55)/HLOOKUP(E$4,output_collect!$C$4:$ZZ$58,55) - 1</f>
        <v>#N/A</v>
      </c>
      <c r="F22" s="66"/>
    </row>
    <row r="23" spans="1:6" x14ac:dyDescent="0.25">
      <c r="A23" s="62" t="s">
        <v>5</v>
      </c>
      <c r="B23" s="63"/>
      <c r="C23" s="57" t="e">
        <f>(1-$P$3)*C21+$P$3*C22</f>
        <v>#N/A</v>
      </c>
      <c r="D23" s="63"/>
      <c r="E23" s="64" t="e">
        <f>(1-$P$4)*E21+$P$4*E22</f>
        <v>#N/A</v>
      </c>
      <c r="F23" s="66"/>
    </row>
  </sheetData>
  <mergeCells count="7">
    <mergeCell ref="A20:E20"/>
    <mergeCell ref="F6:F7"/>
    <mergeCell ref="B6:C6"/>
    <mergeCell ref="D6:E6"/>
    <mergeCell ref="A8:E8"/>
    <mergeCell ref="A12:E12"/>
    <mergeCell ref="A16:E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1C6C7-AB57-499C-991E-3A532B70406D}">
  <dimension ref="A1:P30"/>
  <sheetViews>
    <sheetView workbookViewId="0"/>
  </sheetViews>
  <sheetFormatPr defaultRowHeight="15" x14ac:dyDescent="0.25"/>
  <cols>
    <col min="1" max="1" width="40.140625" bestFit="1" customWidth="1"/>
    <col min="2" max="2" width="12.5703125" bestFit="1" customWidth="1"/>
    <col min="3" max="3" width="16.28515625" bestFit="1" customWidth="1"/>
    <col min="4" max="4" width="12.5703125" bestFit="1" customWidth="1"/>
    <col min="5" max="5" width="16.28515625" bestFit="1" customWidth="1"/>
    <col min="6" max="6" width="11.85546875" bestFit="1" customWidth="1"/>
    <col min="14" max="14" width="14.7109375" customWidth="1"/>
    <col min="15" max="15" width="11.5703125" customWidth="1"/>
  </cols>
  <sheetData>
    <row r="1" spans="1:16" x14ac:dyDescent="0.25">
      <c r="A1" t="s">
        <v>77</v>
      </c>
      <c r="N1" t="s">
        <v>46</v>
      </c>
    </row>
    <row r="3" spans="1:16" x14ac:dyDescent="0.25">
      <c r="A3" t="s">
        <v>35</v>
      </c>
      <c r="B3">
        <v>600001</v>
      </c>
      <c r="C3">
        <v>610001</v>
      </c>
      <c r="D3">
        <v>610021</v>
      </c>
      <c r="N3" t="s">
        <v>90</v>
      </c>
      <c r="P3">
        <f>0.62*0.69</f>
        <v>0.42779999999999996</v>
      </c>
    </row>
    <row r="4" spans="1:16" x14ac:dyDescent="0.25">
      <c r="B4">
        <v>600002</v>
      </c>
      <c r="C4">
        <v>610002</v>
      </c>
      <c r="D4">
        <v>610022</v>
      </c>
      <c r="F4" s="65"/>
      <c r="N4" t="s">
        <v>86</v>
      </c>
      <c r="P4">
        <f>0.38*0.85</f>
        <v>0.32300000000000001</v>
      </c>
    </row>
    <row r="5" spans="1:16" x14ac:dyDescent="0.25">
      <c r="A5" s="66"/>
      <c r="B5" s="66"/>
      <c r="C5" s="66"/>
      <c r="D5" s="66"/>
      <c r="E5" s="66"/>
      <c r="F5" s="65"/>
      <c r="G5" s="66"/>
    </row>
    <row r="6" spans="1:16" ht="15.75" x14ac:dyDescent="0.25">
      <c r="A6" s="30"/>
      <c r="B6" s="84" t="s">
        <v>88</v>
      </c>
      <c r="C6" s="74" t="s">
        <v>89</v>
      </c>
      <c r="D6" s="81"/>
      <c r="E6" s="81"/>
      <c r="F6" s="65"/>
      <c r="G6" s="66"/>
      <c r="N6" t="s">
        <v>91</v>
      </c>
      <c r="P6">
        <f>0.62*0.31</f>
        <v>0.19220000000000001</v>
      </c>
    </row>
    <row r="7" spans="1:16" ht="15.75" x14ac:dyDescent="0.25">
      <c r="A7" s="75" t="s">
        <v>78</v>
      </c>
      <c r="B7" s="3">
        <v>0</v>
      </c>
      <c r="C7" s="56" t="e">
        <f>HLOOKUP(B3,output_collect!$C$4:$ZZ$59,54)/HLOOKUP(C3,output_collect!$C$4:$ZZ$59,54) - 1</f>
        <v>#N/A</v>
      </c>
      <c r="D7" s="81"/>
      <c r="E7" s="81"/>
      <c r="F7" s="65"/>
      <c r="G7" s="66"/>
      <c r="N7" t="s">
        <v>87</v>
      </c>
      <c r="P7">
        <f>0.38*0.15</f>
        <v>5.6999999999999995E-2</v>
      </c>
    </row>
    <row r="8" spans="1:16" ht="15.75" x14ac:dyDescent="0.25">
      <c r="A8" s="75" t="s">
        <v>79</v>
      </c>
      <c r="B8" s="3">
        <v>0</v>
      </c>
      <c r="C8" s="56" t="e">
        <f>HLOOKUP(B4,output_collect!$C$4:$ZZ$59,54)/HLOOKUP(C4,output_collect!$C$4:$ZZ$59,54) - 1</f>
        <v>#N/A</v>
      </c>
      <c r="D8" s="82"/>
      <c r="E8" s="82"/>
      <c r="F8" s="65"/>
      <c r="G8" s="66"/>
    </row>
    <row r="9" spans="1:16" x14ac:dyDescent="0.25">
      <c r="A9" s="76" t="s">
        <v>80</v>
      </c>
      <c r="B9" s="36">
        <v>0</v>
      </c>
      <c r="C9" s="77" t="e">
        <f>(C7*P3+C8*P4)/(P3+0.38*0.85)</f>
        <v>#N/A</v>
      </c>
      <c r="D9" s="70"/>
      <c r="E9" s="70"/>
      <c r="F9" s="65"/>
      <c r="G9" s="66"/>
    </row>
    <row r="10" spans="1:16" x14ac:dyDescent="0.25">
      <c r="A10" s="75" t="s">
        <v>81</v>
      </c>
      <c r="B10" s="56" t="e">
        <f>HLOOKUP(B3,output_collect!$C$4:$ZZ$59,55)/HLOOKUP(B3,output_collect!$C$4:$ZZ$59,56) - 1</f>
        <v>#N/A</v>
      </c>
      <c r="C10" s="78" t="e">
        <f>HLOOKUP(B3,output_collect!$C$4:$ZZ$59,55)/HLOOKUP(D3,output_collect!$C$4:$ZZ$59,56) - 1</f>
        <v>#N/A</v>
      </c>
      <c r="D10" s="70"/>
      <c r="E10" s="70"/>
      <c r="F10" s="65"/>
      <c r="G10" s="66"/>
    </row>
    <row r="11" spans="1:16" x14ac:dyDescent="0.25">
      <c r="A11" s="75" t="s">
        <v>82</v>
      </c>
      <c r="B11" s="56" t="e">
        <f>HLOOKUP(B4,output_collect!$C$4:$ZZ$59,55)/HLOOKUP(B4,output_collect!$C$4:$ZZ$59,56) - 1</f>
        <v>#N/A</v>
      </c>
      <c r="C11" s="78" t="e">
        <f>HLOOKUP(B4,output_collect!$C$4:$ZZ$59,55)/HLOOKUP(D4,output_collect!$C$4:$ZZ$59,56) - 1</f>
        <v>#N/A</v>
      </c>
      <c r="D11" s="70"/>
      <c r="E11" s="70"/>
      <c r="F11" s="65"/>
      <c r="G11" s="66"/>
    </row>
    <row r="12" spans="1:16" ht="15.75" x14ac:dyDescent="0.25">
      <c r="A12" s="76" t="s">
        <v>83</v>
      </c>
      <c r="B12" s="77" t="e">
        <f>(B10*P6+B11*P7)/(P6+P7)</f>
        <v>#N/A</v>
      </c>
      <c r="C12" s="77" t="e">
        <f>(C10*P6+C11*P7)/(P6+P7)</f>
        <v>#N/A</v>
      </c>
      <c r="D12" s="82"/>
      <c r="E12" s="82"/>
      <c r="F12" s="65"/>
      <c r="G12" s="66"/>
    </row>
    <row r="13" spans="1:16" x14ac:dyDescent="0.25">
      <c r="A13" s="3" t="s">
        <v>84</v>
      </c>
      <c r="B13" s="78" t="e">
        <f>0.31*B10+0.69*B7</f>
        <v>#N/A</v>
      </c>
      <c r="C13" s="78" t="e">
        <f>0.31*C10+0.69*C7</f>
        <v>#N/A</v>
      </c>
      <c r="D13" s="70"/>
      <c r="E13" s="70"/>
      <c r="F13" s="65"/>
      <c r="G13" s="66"/>
    </row>
    <row r="14" spans="1:16" x14ac:dyDescent="0.25">
      <c r="A14" s="3" t="s">
        <v>85</v>
      </c>
      <c r="B14" s="78" t="e">
        <f>0.15*B11+0.85*B8</f>
        <v>#N/A</v>
      </c>
      <c r="C14" s="78" t="e">
        <f>0.15*C11+0.85*C8</f>
        <v>#N/A</v>
      </c>
      <c r="D14" s="70"/>
      <c r="E14" s="70"/>
      <c r="F14" s="66"/>
      <c r="G14" s="66"/>
    </row>
    <row r="15" spans="1:16" x14ac:dyDescent="0.25">
      <c r="A15" s="79" t="s">
        <v>38</v>
      </c>
      <c r="B15" s="80" t="e">
        <f>B7*P3+B8*P4+B10*P6+B11*P7</f>
        <v>#N/A</v>
      </c>
      <c r="C15" s="80" t="e">
        <f>C7*0.62*0.69+C8*0.38*0.85+C10*0.62*0.31+C11*0.38*0.15</f>
        <v>#N/A</v>
      </c>
      <c r="D15" s="70"/>
      <c r="E15" s="70"/>
      <c r="F15" s="66"/>
      <c r="G15" s="66"/>
    </row>
    <row r="16" spans="1:16" ht="15.75" x14ac:dyDescent="0.25">
      <c r="A16" s="82"/>
      <c r="B16" s="82"/>
      <c r="C16" s="82"/>
      <c r="D16" s="82"/>
      <c r="E16" s="82"/>
      <c r="F16" s="66"/>
      <c r="G16" s="66"/>
    </row>
    <row r="17" spans="1:7" x14ac:dyDescent="0.25">
      <c r="A17" s="83"/>
      <c r="B17" s="70"/>
      <c r="C17" s="70"/>
      <c r="D17" s="70"/>
      <c r="E17" s="70"/>
      <c r="F17" s="66"/>
      <c r="G17" s="66"/>
    </row>
    <row r="18" spans="1:7" x14ac:dyDescent="0.25">
      <c r="A18" s="83"/>
      <c r="B18" s="70"/>
      <c r="C18" s="70"/>
      <c r="D18" s="70"/>
      <c r="E18" s="70"/>
      <c r="F18" s="66"/>
      <c r="G18" s="66"/>
    </row>
    <row r="19" spans="1:7" x14ac:dyDescent="0.25">
      <c r="A19" s="83"/>
      <c r="B19" s="70"/>
      <c r="C19" s="70"/>
      <c r="D19" s="70"/>
      <c r="E19" s="70"/>
      <c r="F19" s="66"/>
      <c r="G19" s="66"/>
    </row>
    <row r="20" spans="1:7" ht="15.75" x14ac:dyDescent="0.25">
      <c r="A20" s="82"/>
      <c r="B20" s="82"/>
      <c r="C20" s="82"/>
      <c r="D20" s="82"/>
      <c r="E20" s="82"/>
      <c r="F20" s="66"/>
      <c r="G20" s="66"/>
    </row>
    <row r="21" spans="1:7" x14ac:dyDescent="0.25">
      <c r="A21" s="83"/>
      <c r="B21" s="59"/>
      <c r="C21" s="60"/>
      <c r="D21" s="59"/>
      <c r="E21" s="60"/>
      <c r="F21" s="66"/>
      <c r="G21" s="66"/>
    </row>
    <row r="22" spans="1:7" x14ac:dyDescent="0.25">
      <c r="A22" s="83"/>
      <c r="B22" s="59"/>
      <c r="C22" s="60"/>
      <c r="D22" s="59"/>
      <c r="E22" s="60"/>
      <c r="F22" s="66"/>
      <c r="G22" s="66"/>
    </row>
    <row r="23" spans="1:7" x14ac:dyDescent="0.25">
      <c r="A23" s="83"/>
      <c r="B23" s="59"/>
      <c r="C23" s="60"/>
      <c r="D23" s="59"/>
      <c r="E23" s="60"/>
      <c r="F23" s="66"/>
      <c r="G23" s="66"/>
    </row>
    <row r="24" spans="1:7" x14ac:dyDescent="0.25">
      <c r="A24" s="66"/>
      <c r="B24" s="66"/>
      <c r="C24" s="66"/>
      <c r="D24" s="66"/>
      <c r="E24" s="66"/>
      <c r="F24" s="66"/>
      <c r="G24" s="66"/>
    </row>
    <row r="25" spans="1:7" x14ac:dyDescent="0.25">
      <c r="A25" s="66"/>
      <c r="B25" s="66"/>
      <c r="C25" s="66"/>
      <c r="D25" s="66"/>
      <c r="E25" s="66"/>
      <c r="F25" s="66"/>
      <c r="G25" s="66"/>
    </row>
    <row r="26" spans="1:7" x14ac:dyDescent="0.25">
      <c r="A26" s="66"/>
      <c r="B26" s="66"/>
      <c r="C26" s="66"/>
      <c r="D26" s="66"/>
      <c r="E26" s="66"/>
      <c r="F26" s="66"/>
      <c r="G26" s="66"/>
    </row>
    <row r="27" spans="1:7" x14ac:dyDescent="0.25">
      <c r="A27" s="66"/>
      <c r="B27" s="66"/>
      <c r="C27" s="66"/>
      <c r="D27" s="66"/>
      <c r="E27" s="66"/>
      <c r="F27" s="66"/>
      <c r="G27" s="66"/>
    </row>
    <row r="28" spans="1:7" x14ac:dyDescent="0.25">
      <c r="A28" s="66"/>
      <c r="B28" s="66"/>
      <c r="C28" s="66"/>
      <c r="D28" s="66"/>
      <c r="E28" s="66"/>
      <c r="F28" s="66"/>
      <c r="G28" s="66"/>
    </row>
    <row r="29" spans="1:7" x14ac:dyDescent="0.25">
      <c r="A29" s="66"/>
      <c r="B29" s="66"/>
      <c r="C29" s="66"/>
      <c r="D29" s="66"/>
      <c r="E29" s="66"/>
      <c r="F29" s="66"/>
      <c r="G29" s="66"/>
    </row>
    <row r="30" spans="1:7" x14ac:dyDescent="0.25">
      <c r="A30" s="66"/>
      <c r="B30" s="66"/>
      <c r="C30" s="66"/>
      <c r="D30" s="66"/>
      <c r="E30" s="66"/>
      <c r="F30" s="66"/>
      <c r="G30" s="6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D621A-089D-4F0C-BDAD-F5D82349F4FA}">
  <dimension ref="A1:G36"/>
  <sheetViews>
    <sheetView tabSelected="1" workbookViewId="0">
      <selection activeCell="E34" sqref="E34"/>
    </sheetView>
  </sheetViews>
  <sheetFormatPr defaultRowHeight="15" x14ac:dyDescent="0.25"/>
  <cols>
    <col min="1" max="1" width="40.140625" bestFit="1" customWidth="1"/>
    <col min="2" max="2" width="12.5703125" bestFit="1" customWidth="1"/>
    <col min="3" max="3" width="16.28515625" bestFit="1" customWidth="1"/>
    <col min="4" max="4" width="12.5703125" bestFit="1" customWidth="1"/>
    <col min="5" max="5" width="16.28515625" bestFit="1" customWidth="1"/>
    <col min="6" max="6" width="11.85546875" bestFit="1" customWidth="1"/>
    <col min="14" max="14" width="14.7109375" customWidth="1"/>
    <col min="15" max="15" width="11.5703125" customWidth="1"/>
  </cols>
  <sheetData>
    <row r="1" spans="1:7" x14ac:dyDescent="0.25">
      <c r="A1" s="73" t="s">
        <v>92</v>
      </c>
    </row>
    <row r="3" spans="1:7" x14ac:dyDescent="0.25">
      <c r="A3" t="s">
        <v>35</v>
      </c>
      <c r="B3">
        <v>600001</v>
      </c>
      <c r="C3">
        <v>630101</v>
      </c>
      <c r="D3">
        <v>620051</v>
      </c>
      <c r="E3">
        <v>653991</v>
      </c>
      <c r="F3">
        <v>6533651</v>
      </c>
    </row>
    <row r="4" spans="1:7" x14ac:dyDescent="0.25">
      <c r="B4">
        <f>B3+1</f>
        <v>600002</v>
      </c>
      <c r="C4">
        <f>C3+1</f>
        <v>630102</v>
      </c>
      <c r="D4">
        <f>D3+1</f>
        <v>620052</v>
      </c>
      <c r="E4">
        <f>E3+1</f>
        <v>653992</v>
      </c>
      <c r="F4">
        <f>F3+1</f>
        <v>6533652</v>
      </c>
    </row>
    <row r="5" spans="1:7" x14ac:dyDescent="0.25">
      <c r="A5" s="66"/>
      <c r="G5" s="66"/>
    </row>
    <row r="6" spans="1:7" x14ac:dyDescent="0.25">
      <c r="A6" s="85"/>
      <c r="B6" s="86" t="s">
        <v>50</v>
      </c>
      <c r="C6" s="86" t="s">
        <v>51</v>
      </c>
      <c r="D6" s="86" t="s">
        <v>52</v>
      </c>
      <c r="E6" s="86" t="s">
        <v>53</v>
      </c>
      <c r="F6" s="86" t="s">
        <v>93</v>
      </c>
      <c r="G6" s="66"/>
    </row>
    <row r="7" spans="1:7" ht="15.75" x14ac:dyDescent="0.25">
      <c r="A7" s="87"/>
      <c r="B7" s="88" t="s">
        <v>94</v>
      </c>
      <c r="C7" s="88" t="s">
        <v>95</v>
      </c>
      <c r="D7" s="88" t="s">
        <v>96</v>
      </c>
      <c r="E7" s="88" t="s">
        <v>97</v>
      </c>
      <c r="F7" s="88" t="s">
        <v>97</v>
      </c>
      <c r="G7" s="66"/>
    </row>
    <row r="8" spans="1:7" x14ac:dyDescent="0.25">
      <c r="A8" s="89" t="s">
        <v>98</v>
      </c>
      <c r="B8" s="90"/>
      <c r="C8" s="90" t="s">
        <v>99</v>
      </c>
      <c r="D8" s="90" t="s">
        <v>100</v>
      </c>
      <c r="E8" s="90" t="s">
        <v>101</v>
      </c>
      <c r="F8" s="91" t="s">
        <v>111</v>
      </c>
      <c r="G8" s="66"/>
    </row>
    <row r="9" spans="1:7" ht="15.75" x14ac:dyDescent="0.25">
      <c r="A9" s="118" t="s">
        <v>69</v>
      </c>
      <c r="B9" s="118"/>
      <c r="C9" s="118"/>
      <c r="D9" s="118"/>
      <c r="E9" s="118"/>
      <c r="F9" s="118"/>
      <c r="G9" s="66"/>
    </row>
    <row r="10" spans="1:7" x14ac:dyDescent="0.25">
      <c r="A10" s="52" t="s">
        <v>103</v>
      </c>
      <c r="B10" s="53" t="e">
        <f>HLOOKUP(B3,output_collect!$C$4:$ZZ$59,13)*3</f>
        <v>#N/A</v>
      </c>
      <c r="C10" s="53" t="e">
        <f>HLOOKUP(C3,output_collect!$C$4:$ZZ$59,13)*3</f>
        <v>#N/A</v>
      </c>
      <c r="D10" s="53" t="e">
        <f>HLOOKUP(D3,output_collect!$C$4:$ZZ$59,13)*3</f>
        <v>#N/A</v>
      </c>
      <c r="E10" s="53" t="e">
        <f>HLOOKUP(E3,output_collect!$C$4:$ZZ$59,13,FALSE)*3</f>
        <v>#N/A</v>
      </c>
      <c r="F10" s="53" t="e">
        <f>HLOOKUP(F3,output_collect!$C$4:$ZZ$59,13,FALSE)*3</f>
        <v>#N/A</v>
      </c>
      <c r="G10" s="66"/>
    </row>
    <row r="11" spans="1:7" x14ac:dyDescent="0.25">
      <c r="A11" s="52" t="s">
        <v>104</v>
      </c>
      <c r="B11" s="53" t="e">
        <f>HLOOKUP(B3,output_collect!$C$4:$ZZ$59,14)*3</f>
        <v>#N/A</v>
      </c>
      <c r="C11" s="53" t="e">
        <f>HLOOKUP(C3,output_collect!$C$4:$ZZ$59,14)*3</f>
        <v>#N/A</v>
      </c>
      <c r="D11" s="53" t="e">
        <f>HLOOKUP(D3,output_collect!$C$4:$ZZ$59,14)*3</f>
        <v>#N/A</v>
      </c>
      <c r="E11" s="53" t="e">
        <f>HLOOKUP(E3,output_collect!$C$4:$ZZ$59,14,FALSE)*3</f>
        <v>#N/A</v>
      </c>
      <c r="F11" s="53" t="e">
        <f>HLOOKUP(F3,output_collect!$C$4:$ZZ$59,14,FALSE)*3</f>
        <v>#N/A</v>
      </c>
      <c r="G11" s="66"/>
    </row>
    <row r="12" spans="1:7" x14ac:dyDescent="0.25">
      <c r="A12" s="52" t="s">
        <v>105</v>
      </c>
      <c r="B12" s="53" t="e">
        <f>HLOOKUP(B4,output_collect!$C$4:$ZZ$59,13)*3</f>
        <v>#N/A</v>
      </c>
      <c r="C12" s="53" t="e">
        <f>HLOOKUP(C4,output_collect!$C$4:$ZZ$59,13)*3</f>
        <v>#N/A</v>
      </c>
      <c r="D12" s="53" t="e">
        <f>HLOOKUP(D4,output_collect!$C$4:$ZZ$59,13)*3</f>
        <v>#N/A</v>
      </c>
      <c r="E12" s="53" t="e">
        <f>HLOOKUP(E4,output_collect!$C$4:$ZZ$59,13,FALSE)*3</f>
        <v>#N/A</v>
      </c>
      <c r="F12" s="53" t="e">
        <f>HLOOKUP(F4,output_collect!$C$4:$ZZ$59,13,FALSE)*3</f>
        <v>#N/A</v>
      </c>
      <c r="G12" s="66"/>
    </row>
    <row r="13" spans="1:7" x14ac:dyDescent="0.25">
      <c r="A13" s="52" t="s">
        <v>106</v>
      </c>
      <c r="B13" s="53" t="e">
        <f>HLOOKUP(B4,output_collect!$C$4:$ZZ$59,14)*3</f>
        <v>#N/A</v>
      </c>
      <c r="C13" s="53" t="e">
        <f>HLOOKUP(C4,output_collect!$C$4:$ZZ$59,14)*3</f>
        <v>#N/A</v>
      </c>
      <c r="D13" s="53" t="e">
        <f>HLOOKUP(D4,output_collect!$C$4:$ZZ$59,14)*3</f>
        <v>#N/A</v>
      </c>
      <c r="E13" s="53" t="e">
        <f>HLOOKUP(E4,output_collect!$C$4:$ZZ$59,14,FALSE)*3</f>
        <v>#N/A</v>
      </c>
      <c r="F13" s="53" t="e">
        <f>HLOOKUP(F4,output_collect!$C$4:$ZZ$59,14,FALSE)*3</f>
        <v>#N/A</v>
      </c>
      <c r="G13" s="66"/>
    </row>
    <row r="14" spans="1:7" ht="15.75" x14ac:dyDescent="0.25">
      <c r="A14" s="118" t="s">
        <v>71</v>
      </c>
      <c r="B14" s="118"/>
      <c r="C14" s="118"/>
      <c r="D14" s="118"/>
      <c r="E14" s="118"/>
      <c r="F14" s="118"/>
      <c r="G14" s="66"/>
    </row>
    <row r="15" spans="1:7" x14ac:dyDescent="0.25">
      <c r="A15" s="52" t="s">
        <v>103</v>
      </c>
      <c r="B15" s="53" t="e">
        <f>HLOOKUP(B3,output_collect!$C$4:$ZZ$59,5)/3</f>
        <v>#N/A</v>
      </c>
      <c r="C15" s="53" t="e">
        <f>HLOOKUP(C3,output_collect!$C$4:$ZZ$59,5)/3</f>
        <v>#N/A</v>
      </c>
      <c r="D15" s="53" t="e">
        <f>HLOOKUP(D3,output_collect!$C$4:$ZZ$59,5)/3</f>
        <v>#N/A</v>
      </c>
      <c r="E15" s="53" t="e">
        <f>HLOOKUP(E3,output_collect!$C$4:$ZZ$59,5,FALSE)/3</f>
        <v>#N/A</v>
      </c>
      <c r="F15" s="53" t="e">
        <f>HLOOKUP(F3,output_collect!$C$4:$ZZ$59,5,FALSE)/3</f>
        <v>#N/A</v>
      </c>
      <c r="G15" s="66"/>
    </row>
    <row r="16" spans="1:7" x14ac:dyDescent="0.25">
      <c r="A16" s="52" t="s">
        <v>104</v>
      </c>
      <c r="B16" s="53" t="e">
        <f>HLOOKUP(B3,output_collect!$C$4:$ZZ$59,6)/3</f>
        <v>#N/A</v>
      </c>
      <c r="C16" s="53" t="e">
        <f>HLOOKUP(C3,output_collect!$C$4:$ZZ$59,6)/3</f>
        <v>#N/A</v>
      </c>
      <c r="D16" s="53" t="e">
        <f>HLOOKUP(D3,output_collect!$C$4:$ZZ$59,6)/3</f>
        <v>#N/A</v>
      </c>
      <c r="E16" s="53" t="e">
        <f>HLOOKUP(E3,output_collect!$C$4:$ZZ$59,6,FALSE)/3</f>
        <v>#N/A</v>
      </c>
      <c r="F16" s="53" t="e">
        <f>HLOOKUP(F3,output_collect!$C$4:$ZZ$59,6,FALSE)/3</f>
        <v>#N/A</v>
      </c>
      <c r="G16" s="66"/>
    </row>
    <row r="17" spans="1:7" x14ac:dyDescent="0.25">
      <c r="A17" s="52" t="s">
        <v>105</v>
      </c>
      <c r="B17" s="53" t="e">
        <f>HLOOKUP(B4,output_collect!$C$4:$ZZ$59,5)/3</f>
        <v>#N/A</v>
      </c>
      <c r="C17" s="53" t="e">
        <f>HLOOKUP(C4,output_collect!$C$4:$ZZ$59,5)/3</f>
        <v>#N/A</v>
      </c>
      <c r="D17" s="53" t="e">
        <f>HLOOKUP(D4,output_collect!$C$4:$ZZ$59,5)/3</f>
        <v>#N/A</v>
      </c>
      <c r="E17" s="53" t="e">
        <f>HLOOKUP(E4,output_collect!$C$4:$ZZ$59,5,FALSE)/3</f>
        <v>#N/A</v>
      </c>
      <c r="F17" s="53" t="e">
        <f>HLOOKUP(F4,output_collect!$C$4:$ZZ$59,5,FALSE)/3</f>
        <v>#N/A</v>
      </c>
      <c r="G17" s="66"/>
    </row>
    <row r="18" spans="1:7" x14ac:dyDescent="0.25">
      <c r="A18" s="52" t="s">
        <v>106</v>
      </c>
      <c r="B18" s="53" t="e">
        <f>HLOOKUP(B4,output_collect!$C$4:$ZZ$59,6)/3</f>
        <v>#N/A</v>
      </c>
      <c r="C18" s="53" t="e">
        <f>HLOOKUP(C4,output_collect!$C$4:$ZZ$59,6)/3</f>
        <v>#N/A</v>
      </c>
      <c r="D18" s="53" t="e">
        <f>HLOOKUP(D4,output_collect!$C$4:$ZZ$59,6)/3</f>
        <v>#N/A</v>
      </c>
      <c r="E18" s="53" t="e">
        <f>HLOOKUP(E4,output_collect!$C$4:$ZZ$59,6,FALSE)/3</f>
        <v>#N/A</v>
      </c>
      <c r="F18" s="53" t="e">
        <f>HLOOKUP(F4,output_collect!$C$4:$ZZ$59,6,FALSE)/3</f>
        <v>#N/A</v>
      </c>
      <c r="G18" s="66"/>
    </row>
    <row r="19" spans="1:7" ht="15.75" x14ac:dyDescent="0.25">
      <c r="A19" s="118" t="s">
        <v>72</v>
      </c>
      <c r="B19" s="118"/>
      <c r="C19" s="118"/>
      <c r="D19" s="118"/>
      <c r="E19" s="118"/>
      <c r="F19" s="118"/>
      <c r="G19" s="66"/>
    </row>
    <row r="20" spans="1:7" x14ac:dyDescent="0.25">
      <c r="A20" s="52" t="s">
        <v>103</v>
      </c>
      <c r="B20" s="53" t="e">
        <f>(1+HLOOKUP(B3,output_collect!$C$4:$ZZ$59,10))^(1/3)-1</f>
        <v>#N/A</v>
      </c>
      <c r="C20" s="53" t="e">
        <f>(1+HLOOKUP(C3,output_collect!$C$4:$ZZ$59,10))^(1/3)-1</f>
        <v>#N/A</v>
      </c>
      <c r="D20" s="53" t="e">
        <f>(1+HLOOKUP(D3,output_collect!$C$4:$ZZ$59,10))^(1/3)-1</f>
        <v>#N/A</v>
      </c>
      <c r="E20" s="53" t="e">
        <f>(1+HLOOKUP(E3,output_collect!$C$4:$ZZ$59,10,FALSE))^(1/3)-1</f>
        <v>#N/A</v>
      </c>
      <c r="F20" s="53" t="e">
        <f>(1+HLOOKUP(F3,output_collect!$C$4:$ZZ$59,10,FALSE))^(1/3)-1</f>
        <v>#N/A</v>
      </c>
      <c r="G20" s="66"/>
    </row>
    <row r="21" spans="1:7" x14ac:dyDescent="0.25">
      <c r="A21" s="52" t="s">
        <v>104</v>
      </c>
      <c r="B21" s="53" t="e">
        <f>(1+HLOOKUP(B3,output_collect!$C$4:$ZZ$59,11))^(1/3)-1</f>
        <v>#N/A</v>
      </c>
      <c r="C21" s="53" t="e">
        <f>(1+HLOOKUP(C3,output_collect!$C$4:$ZZ$59,11))^(1/3)-1</f>
        <v>#N/A</v>
      </c>
      <c r="D21" s="53" t="e">
        <f>(1+HLOOKUP(D3,output_collect!$C$4:$ZZ$59,11))^(1/3)-1</f>
        <v>#N/A</v>
      </c>
      <c r="E21" s="53" t="e">
        <f>(1+HLOOKUP(E3,output_collect!$C$4:$ZZ$59,11,FALSE))^(1/3)-1</f>
        <v>#N/A</v>
      </c>
      <c r="F21" s="53" t="e">
        <f>(1+HLOOKUP(F3,output_collect!$C$4:$ZZ$59,11,FALSE))^(1/3)-1</f>
        <v>#N/A</v>
      </c>
      <c r="G21" s="66"/>
    </row>
    <row r="22" spans="1:7" x14ac:dyDescent="0.25">
      <c r="A22" s="52" t="s">
        <v>105</v>
      </c>
      <c r="B22" s="53" t="e">
        <f>(1+HLOOKUP(B4,output_collect!$C$4:$ZZ$59,10))^(1/3)-1</f>
        <v>#N/A</v>
      </c>
      <c r="C22" s="53" t="e">
        <f>(1+HLOOKUP(C4,output_collect!$C$4:$ZZ$59,10))^(1/3)-1</f>
        <v>#N/A</v>
      </c>
      <c r="D22" s="53" t="e">
        <f>(1+HLOOKUP(D4,output_collect!$C$4:$ZZ$59,10))^(1/3)-1</f>
        <v>#N/A</v>
      </c>
      <c r="E22" s="53" t="e">
        <f>(1+HLOOKUP(E4,output_collect!$C$4:$ZZ$59,10,FALSE))^(1/3)-1</f>
        <v>#N/A</v>
      </c>
      <c r="F22" s="53" t="e">
        <f>(1+HLOOKUP(F4,output_collect!$C$4:$ZZ$59,10,FALSE))^(1/3)-1</f>
        <v>#N/A</v>
      </c>
      <c r="G22" s="66"/>
    </row>
    <row r="23" spans="1:7" x14ac:dyDescent="0.25">
      <c r="A23" s="52" t="s">
        <v>106</v>
      </c>
      <c r="B23" s="53" t="e">
        <f>(1+HLOOKUP(B4,output_collect!$C$4:$ZZ$59,11))^(1/3)-1</f>
        <v>#N/A</v>
      </c>
      <c r="C23" s="53" t="e">
        <f>(1+HLOOKUP(C4,output_collect!$C$4:$ZZ$59,11))^(1/3)-1</f>
        <v>#N/A</v>
      </c>
      <c r="D23" s="53" t="e">
        <f>(1+HLOOKUP(D4,output_collect!$C$4:$ZZ$59,11))^(1/3)-1</f>
        <v>#N/A</v>
      </c>
      <c r="E23" s="53" t="e">
        <f>(1+HLOOKUP(E4,output_collect!$C$4:$ZZ$59,11,FALSE))^(1/3)-1</f>
        <v>#N/A</v>
      </c>
      <c r="F23" s="53" t="e">
        <f>(1+HLOOKUP(F4,output_collect!$C$4:$ZZ$59,11,FALSE))^(1/3)-1</f>
        <v>#N/A</v>
      </c>
      <c r="G23" s="66"/>
    </row>
    <row r="24" spans="1:7" ht="15.75" x14ac:dyDescent="0.25">
      <c r="A24" s="118" t="s">
        <v>73</v>
      </c>
      <c r="B24" s="118"/>
      <c r="C24" s="118"/>
      <c r="D24" s="118"/>
      <c r="E24" s="118"/>
      <c r="F24" s="118"/>
      <c r="G24" s="66"/>
    </row>
    <row r="25" spans="1:7" x14ac:dyDescent="0.25">
      <c r="A25" s="52" t="s">
        <v>103</v>
      </c>
      <c r="B25" s="56"/>
      <c r="C25" s="53" t="e">
        <f>HLOOKUP($B$3,output_collect!$C$4:$ZZ$59,54)/HLOOKUP(C3,output_collect!$C$4:$ZZ$59,54) - 1</f>
        <v>#N/A</v>
      </c>
      <c r="D25" s="53" t="e">
        <f>HLOOKUP($B$3,output_collect!$C$4:$ZZ$59,54)/HLOOKUP(D3,output_collect!$C$4:$ZZ$59,54) - 1</f>
        <v>#N/A</v>
      </c>
      <c r="E25" s="53" t="e">
        <f>HLOOKUP($B$3,output_collect!$C$4:$ZZ$59,54,FALSE)/HLOOKUP(E3,output_collect!$C$4:$ZZ$59,54,FALSE) - 1</f>
        <v>#N/A</v>
      </c>
      <c r="F25" s="53" t="e">
        <f>HLOOKUP($B$3,output_collect!$C$4:$ZZ$59,54,FALSE)/HLOOKUP(F3,output_collect!$C$4:$ZZ$59,54,FALSE) - 1</f>
        <v>#N/A</v>
      </c>
      <c r="G25" s="66"/>
    </row>
    <row r="26" spans="1:7" x14ac:dyDescent="0.25">
      <c r="A26" s="52" t="s">
        <v>104</v>
      </c>
      <c r="B26" s="56"/>
      <c r="C26" s="53" t="e">
        <f>HLOOKUP($B$3,output_collect!$C$4:$ZZ$59,55)/HLOOKUP(C3,output_collect!$C$4:$ZZ$59,55) - 1</f>
        <v>#N/A</v>
      </c>
      <c r="D26" s="53" t="e">
        <f>HLOOKUP($B$3,output_collect!$C$4:$ZZ$59,55)/HLOOKUP(D3,output_collect!$C$4:$ZZ$59,55) - 1</f>
        <v>#N/A</v>
      </c>
      <c r="E26" s="53" t="e">
        <f>HLOOKUP($B$3,output_collect!$C$4:$ZZ$59,55,FALSE)/HLOOKUP(E3,output_collect!$C$4:$ZZ$59,55,FALSE) - 1</f>
        <v>#N/A</v>
      </c>
      <c r="F26" s="53" t="e">
        <f>HLOOKUP($B$3,output_collect!$C$4:$ZZ$59,55,FALSE)/HLOOKUP(F3,output_collect!$C$4:$ZZ$59,55,FALSE) - 1</f>
        <v>#N/A</v>
      </c>
      <c r="G26" s="66"/>
    </row>
    <row r="27" spans="1:7" x14ac:dyDescent="0.25">
      <c r="A27" s="52" t="s">
        <v>105</v>
      </c>
      <c r="B27" s="56"/>
      <c r="C27" s="53" t="e">
        <f>HLOOKUP($B$4,output_collect!$C$4:$ZZ$59,54)/HLOOKUP(C4,output_collect!$C$4:$ZZ$59,54) - 1</f>
        <v>#N/A</v>
      </c>
      <c r="D27" s="53" t="e">
        <f>HLOOKUP($B$4,output_collect!$C$4:$ZZ$59,54)/HLOOKUP(D4,output_collect!$C$4:$ZZ$59,54) - 1</f>
        <v>#N/A</v>
      </c>
      <c r="E27" s="53" t="e">
        <f>HLOOKUP($B$4,output_collect!$C$4:$ZZ$59,54,FALSE)/HLOOKUP(E4,output_collect!$C$4:$ZZ$59,54,FALSE) - 1</f>
        <v>#N/A</v>
      </c>
      <c r="F27" s="53" t="e">
        <f>HLOOKUP($B$4,output_collect!$C$4:$ZZ$59,54,FALSE)/HLOOKUP(F4,output_collect!$C$4:$ZZ$59,54,FALSE) - 1</f>
        <v>#N/A</v>
      </c>
      <c r="G27" s="66"/>
    </row>
    <row r="28" spans="1:7" x14ac:dyDescent="0.25">
      <c r="A28" s="52" t="s">
        <v>106</v>
      </c>
      <c r="B28" s="55"/>
      <c r="C28" s="53" t="e">
        <f>HLOOKUP($B$4,output_collect!$C$4:$ZZ$59,55)/HLOOKUP(C4,output_collect!$C$4:$ZZ$59,55) - 1</f>
        <v>#N/A</v>
      </c>
      <c r="D28" s="53" t="e">
        <f>HLOOKUP($B$4,output_collect!$C$4:$ZZ$59,55)/HLOOKUP(D4,output_collect!$C$4:$ZZ$59,55) - 1</f>
        <v>#N/A</v>
      </c>
      <c r="E28" s="53" t="e">
        <f>HLOOKUP($B$4,output_collect!$C$4:$ZZ$59,55,FALSE)/HLOOKUP(E4,output_collect!$C$4:$ZZ$59,55,FALSE) - 1</f>
        <v>#N/A</v>
      </c>
      <c r="F28" s="53" t="e">
        <f>HLOOKUP($B$4,output_collect!$C$4:$ZZ$59,55,FALSE)/HLOOKUP(F4,output_collect!$C$4:$ZZ$59,55,FALSE) - 1</f>
        <v>#N/A</v>
      </c>
      <c r="G28" s="66"/>
    </row>
    <row r="29" spans="1:7" ht="15.75" x14ac:dyDescent="0.25">
      <c r="A29" s="118" t="s">
        <v>102</v>
      </c>
      <c r="B29" s="118"/>
      <c r="C29" s="118"/>
      <c r="D29" s="118"/>
      <c r="E29" s="118"/>
      <c r="F29" s="118"/>
      <c r="G29" s="66"/>
    </row>
    <row r="30" spans="1:7" x14ac:dyDescent="0.25">
      <c r="A30" s="83" t="s">
        <v>107</v>
      </c>
      <c r="B30" s="53" t="e">
        <f>HLOOKUP(B3,output_collect!$C$4:$ZZ$59,8)/3</f>
        <v>#N/A</v>
      </c>
      <c r="C30" s="53" t="e">
        <f>HLOOKUP(C3,output_collect!$C$4:$ZZ$59,8)/3</f>
        <v>#N/A</v>
      </c>
      <c r="D30" s="53" t="e">
        <f>HLOOKUP(D3,output_collect!$C$4:$ZZ$59,8)/3</f>
        <v>#N/A</v>
      </c>
      <c r="E30" s="53" t="e">
        <f>HLOOKUP(E3,output_collect!$C$4:$ZZ$59,8,FALSE)/3</f>
        <v>#N/A</v>
      </c>
      <c r="F30" s="53" t="e">
        <f>HLOOKUP(F3,output_collect!$C$4:$ZZ$59,8,FALSE)/3</f>
        <v>#N/A</v>
      </c>
      <c r="G30" s="66"/>
    </row>
    <row r="31" spans="1:7" x14ac:dyDescent="0.25">
      <c r="A31" s="83" t="s">
        <v>109</v>
      </c>
      <c r="B31" s="53" t="e">
        <f>HLOOKUP(B4,output_collect!$C$4:$ZZ$59,8)/3</f>
        <v>#N/A</v>
      </c>
      <c r="C31" s="53" t="e">
        <f>HLOOKUP(C4,output_collect!$C$4:$ZZ$59,8)/3</f>
        <v>#N/A</v>
      </c>
      <c r="D31" s="53" t="e">
        <f>HLOOKUP(D4,output_collect!$C$4:$ZZ$59,8)/3</f>
        <v>#N/A</v>
      </c>
      <c r="E31" s="53" t="e">
        <f>HLOOKUP(E4,output_collect!$C$4:$ZZ$59,8,FALSE)/3</f>
        <v>#N/A</v>
      </c>
      <c r="F31" s="53" t="e">
        <f>HLOOKUP(F4,output_collect!$C$4:$ZZ$59,8,FALSE)/3</f>
        <v>#N/A</v>
      </c>
      <c r="G31" s="66"/>
    </row>
    <row r="32" spans="1:7" x14ac:dyDescent="0.25">
      <c r="A32" s="52" t="s">
        <v>108</v>
      </c>
      <c r="B32" s="70" t="e">
        <f>(HLOOKUP(B3,output_collect!$C$4:$ZZ$59,50)+HLOOKUP(B3,output_collect!$C$4:$ZZ$59,51))/HLOOKUP(B3,output_collect!$C$4:$ZZ$59,27)</f>
        <v>#N/A</v>
      </c>
      <c r="C32" s="70" t="e">
        <f>(HLOOKUP(C3,output_collect!$C$4:$ZZ$59,50)+HLOOKUP(C3,output_collect!$C$4:$ZZ$59,51))/HLOOKUP(C3,output_collect!$C$4:$ZZ$59,27)</f>
        <v>#N/A</v>
      </c>
      <c r="D32" s="70" t="e">
        <f>(HLOOKUP(D3,output_collect!$C$4:$ZZ$59,50)+HLOOKUP(D3,output_collect!$C$4:$ZZ$59,51))/HLOOKUP(D3,output_collect!$C$4:$ZZ$59,27)</f>
        <v>#N/A</v>
      </c>
      <c r="E32" s="70" t="e">
        <f>(HLOOKUP(E3,output_collect!$C$4:$ZZ$59,50,FALSE)+HLOOKUP(E3,output_collect!$C$4:$ZZ$59,51,FALSE))/HLOOKUP(E3,output_collect!$C$4:$ZZ$59,27,FALSE)</f>
        <v>#N/A</v>
      </c>
      <c r="F32" s="70" t="e">
        <f>(HLOOKUP(F3,output_collect!$C$4:$ZZ$59,50,FALSE)+HLOOKUP(F3,output_collect!$C$4:$ZZ$59,51,FALSE))/HLOOKUP(F3,output_collect!$C$4:$ZZ$59,27,FALSE)</f>
        <v>#N/A</v>
      </c>
      <c r="G32" s="66"/>
    </row>
    <row r="33" spans="1:7" x14ac:dyDescent="0.25">
      <c r="A33" s="54" t="s">
        <v>110</v>
      </c>
      <c r="B33" s="55" t="e">
        <f>(HLOOKUP(B4,output_collect!$C$4:$ZZ$59,50)+HLOOKUP(B4,output_collect!$C$4:$ZZ$59,51))/HLOOKUP(B4,output_collect!$C$4:$ZZ$59,27)</f>
        <v>#N/A</v>
      </c>
      <c r="C33" s="55" t="e">
        <f>(HLOOKUP(C4,output_collect!$C$4:$ZZ$59,50)+HLOOKUP(C4,output_collect!$C$4:$ZZ$59,51))/HLOOKUP(C4,output_collect!$C$4:$ZZ$59,27)</f>
        <v>#N/A</v>
      </c>
      <c r="D33" s="55" t="e">
        <f>(HLOOKUP(D4,output_collect!$C$4:$ZZ$59,50)+HLOOKUP(D4,output_collect!$C$4:$ZZ$59,51))/HLOOKUP(D4,output_collect!$C$4:$ZZ$59,27)</f>
        <v>#N/A</v>
      </c>
      <c r="E33" s="55" t="e">
        <f>(HLOOKUP(E4,output_collect!$C$4:$ZZ$59,50,FALSE)+HLOOKUP(E4,output_collect!$C$4:$ZZ$59,51,FALSE))/HLOOKUP(E4,output_collect!$C$4:$ZZ$59,27,FALSE)</f>
        <v>#N/A</v>
      </c>
      <c r="F33" s="55" t="e">
        <f>(HLOOKUP(F4,output_collect!$C$4:$ZZ$59,50,FALSE)+HLOOKUP(F4,output_collect!$C$4:$ZZ$59,51,FALSE))/HLOOKUP(F4,output_collect!$C$4:$ZZ$59,27,FALSE)</f>
        <v>#N/A</v>
      </c>
      <c r="G33" s="66"/>
    </row>
    <row r="34" spans="1:7" x14ac:dyDescent="0.25">
      <c r="A34" s="66"/>
      <c r="B34" s="66"/>
      <c r="C34" s="66"/>
      <c r="D34" s="66"/>
      <c r="E34" s="66"/>
      <c r="F34" s="66"/>
      <c r="G34" s="66"/>
    </row>
    <row r="35" spans="1:7" x14ac:dyDescent="0.25">
      <c r="A35" s="66"/>
      <c r="B35" s="66"/>
      <c r="C35" s="66"/>
      <c r="D35" s="66"/>
      <c r="E35" s="66"/>
      <c r="F35" s="66"/>
      <c r="G35" s="66"/>
    </row>
    <row r="36" spans="1:7" x14ac:dyDescent="0.25">
      <c r="A36" s="66"/>
      <c r="B36" s="66"/>
      <c r="C36" s="66"/>
      <c r="D36" s="66"/>
      <c r="E36" s="66"/>
      <c r="F36" s="66"/>
      <c r="G36" s="66"/>
    </row>
  </sheetData>
  <mergeCells count="5">
    <mergeCell ref="A9:F9"/>
    <mergeCell ref="A14:F14"/>
    <mergeCell ref="A19:F19"/>
    <mergeCell ref="A24:F24"/>
    <mergeCell ref="A29:F2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994E4-ECC7-4DFC-B28D-B6583CB02634}">
  <dimension ref="A1:T58"/>
  <sheetViews>
    <sheetView workbookViewId="0"/>
  </sheetViews>
  <sheetFormatPr defaultRowHeight="15" x14ac:dyDescent="0.25"/>
  <cols>
    <col min="1" max="1" width="40.140625" bestFit="1" customWidth="1"/>
    <col min="2" max="2" width="12.5703125" bestFit="1" customWidth="1"/>
    <col min="3" max="3" width="16.28515625" bestFit="1" customWidth="1"/>
    <col min="4" max="4" width="12.5703125" bestFit="1" customWidth="1"/>
    <col min="5" max="5" width="16.28515625" bestFit="1" customWidth="1"/>
    <col min="6" max="6" width="11.85546875" bestFit="1" customWidth="1"/>
    <col min="14" max="14" width="14.7109375" customWidth="1"/>
    <col min="15" max="15" width="11.5703125" customWidth="1"/>
  </cols>
  <sheetData>
    <row r="1" spans="1:20" x14ac:dyDescent="0.25">
      <c r="A1" s="73" t="s">
        <v>114</v>
      </c>
      <c r="N1" t="s">
        <v>46</v>
      </c>
    </row>
    <row r="3" spans="1:20" x14ac:dyDescent="0.25">
      <c r="A3" t="s">
        <v>35</v>
      </c>
      <c r="B3">
        <v>610001</v>
      </c>
      <c r="C3">
        <v>281115</v>
      </c>
      <c r="D3">
        <v>600001</v>
      </c>
      <c r="E3">
        <v>281162</v>
      </c>
      <c r="F3">
        <v>610011</v>
      </c>
      <c r="N3" t="s">
        <v>47</v>
      </c>
      <c r="P3">
        <v>0.38</v>
      </c>
    </row>
    <row r="4" spans="1:20" x14ac:dyDescent="0.25">
      <c r="B4">
        <v>610002</v>
      </c>
      <c r="C4">
        <v>282207</v>
      </c>
      <c r="D4">
        <v>600002</v>
      </c>
      <c r="E4">
        <v>282230</v>
      </c>
      <c r="F4">
        <v>610012</v>
      </c>
    </row>
    <row r="5" spans="1:20" x14ac:dyDescent="0.25">
      <c r="A5" s="66"/>
      <c r="G5" s="66"/>
      <c r="N5" t="s">
        <v>115</v>
      </c>
      <c r="P5">
        <v>0</v>
      </c>
      <c r="Q5">
        <v>0.155</v>
      </c>
      <c r="R5">
        <v>0.31</v>
      </c>
      <c r="S5">
        <v>0.62</v>
      </c>
      <c r="T5">
        <v>1</v>
      </c>
    </row>
    <row r="6" spans="1:20" x14ac:dyDescent="0.25">
      <c r="B6" s="94">
        <v>0</v>
      </c>
      <c r="C6" s="94">
        <f>D6/2</f>
        <v>0.1246</v>
      </c>
      <c r="D6" s="94">
        <f>0.62*0.31+0.38*0.15</f>
        <v>0.2492</v>
      </c>
      <c r="E6" s="95">
        <f>D6*2</f>
        <v>0.49840000000000001</v>
      </c>
      <c r="F6" s="94">
        <v>1</v>
      </c>
      <c r="G6" s="66"/>
      <c r="N6" t="s">
        <v>116</v>
      </c>
      <c r="P6">
        <v>0</v>
      </c>
      <c r="Q6">
        <v>7.4999999999999997E-2</v>
      </c>
      <c r="R6">
        <v>0.15</v>
      </c>
      <c r="S6">
        <v>0.3</v>
      </c>
      <c r="T6">
        <v>1</v>
      </c>
    </row>
    <row r="7" spans="1:20" ht="15.75" x14ac:dyDescent="0.25">
      <c r="A7" s="123" t="s">
        <v>69</v>
      </c>
      <c r="B7" s="123"/>
      <c r="C7" s="123"/>
      <c r="D7" s="123"/>
      <c r="E7" s="123"/>
      <c r="F7" s="123"/>
      <c r="G7" s="66"/>
    </row>
    <row r="8" spans="1:20" x14ac:dyDescent="0.25">
      <c r="A8" s="96" t="s">
        <v>70</v>
      </c>
      <c r="B8" s="97" t="e">
        <f>(HLOOKUP(B3,output_collect!$C$4:$ZZ$59,26)*(1-$P$3)*(1-P$5)+HLOOKUP(B4,output_collect!$C$4:$ZZ$59,26)*$P$3*(1-P$6))/(HLOOKUP(B3,output_collect!$C$4:$ZZ$59,23)*(1-$P$3)*(1-P$5)+HLOOKUP(B4,output_collect!$C$4:$ZZ$59,23)*$P$3*(1-P$6))*3</f>
        <v>#N/A</v>
      </c>
      <c r="C8" s="97" t="e">
        <f>(HLOOKUP(C3,output_collect!$C$4:$ZZ$59,26)*(1-$P$3)*(1-Q$5)+HLOOKUP(C4,output_collect!$C$4:$ZZ$59,26)*$P$3*(1-Q$6))/(HLOOKUP(C3,output_collect!$C$4:$ZZ$59,23)*(1-$P$3)*(1-Q$5)+HLOOKUP(C4,output_collect!$C$4:$ZZ$59,23)*$P$3*(1-Q$6))*3</f>
        <v>#N/A</v>
      </c>
      <c r="D8" s="97" t="e">
        <f>(HLOOKUP(D3,output_collect!$C$4:$ZZ$59,26)*(1-$P$3)*(1-R$5)+HLOOKUP(D4,output_collect!$C$4:$ZZ$59,26)*$P$3*(1-R$6))/(HLOOKUP(D3,output_collect!$C$4:$ZZ$59,23)*(1-$P$3)*(1-R$5)+HLOOKUP(D4,output_collect!$C$4:$ZZ$59,23)*$P$3*(1-R$6))*3</f>
        <v>#N/A</v>
      </c>
      <c r="E8" s="97" t="e">
        <f>(HLOOKUP(E3,output_collect!$C$4:$ZZ$59,26)*(1-$P$3)*(1-S$5)+HLOOKUP(E4,output_collect!$C$4:$ZZ$59,26)*$P$3*(1-S$6))/(HLOOKUP(E3,output_collect!$C$4:$ZZ$59,23)*(1-$P$3)*(1-S$5)+HLOOKUP(E4,output_collect!$C$4:$ZZ$59,23)*$P$3*(1-S$6))*3</f>
        <v>#N/A</v>
      </c>
      <c r="F8" s="97"/>
      <c r="G8" s="66"/>
    </row>
    <row r="9" spans="1:20" x14ac:dyDescent="0.25">
      <c r="A9" s="96" t="s">
        <v>39</v>
      </c>
      <c r="B9" s="97"/>
      <c r="C9" s="97" t="e">
        <f>(HLOOKUP(C3,output_collect!$C$4:$ZZ$59,27)*(1-$P$3)*(Q$5)+HLOOKUP(C4,output_collect!$C$4:$ZZ$59,27)*$P$3*(Q$6))/(HLOOKUP(C3,output_collect!$C$4:$ZZ$59,24)*(1-$P$3)*(Q$5)+HLOOKUP(C4,output_collect!$C$4:$ZZ$59,24)*$P$3*(Q$6))*3</f>
        <v>#N/A</v>
      </c>
      <c r="D9" s="97" t="e">
        <f>(HLOOKUP(D3,output_collect!$C$4:$ZZ$59,27)*(1-$P$3)*(R$5)+HLOOKUP(D4,output_collect!$C$4:$ZZ$59,27)*$P$3*(R$6))/(HLOOKUP(D3,output_collect!$C$4:$ZZ$59,24)*(1-$P$3)*(R$5)+HLOOKUP(D4,output_collect!$C$4:$ZZ$59,24)*$P$3*(R$6))*3</f>
        <v>#N/A</v>
      </c>
      <c r="E9" s="97" t="e">
        <f>(HLOOKUP(E3,output_collect!$C$4:$ZZ$59,27)*(1-$P$3)*(S$5)+HLOOKUP(E4,output_collect!$C$4:$ZZ$59,27)*$P$3*(S$6))/(HLOOKUP(E3,output_collect!$C$4:$ZZ$59,24)*(1-$P$3)*(S$5)+HLOOKUP(E4,output_collect!$C$4:$ZZ$59,24)*$P$3*(S$6))*3</f>
        <v>#N/A</v>
      </c>
      <c r="F9" s="97" t="e">
        <f>(HLOOKUP(F3,output_collect!$C$4:$ZZ$59,27)*(1-$P$3)*(T$5)+HLOOKUP(F4,output_collect!$C$4:$ZZ$59,27)*$P$3*(T$6))/(HLOOKUP(F3,output_collect!$C$4:$ZZ$59,24)*(1-$P$3)*(T$5)+HLOOKUP(F4,output_collect!$C$4:$ZZ$59,24)*$P$3*(T$6))*3</f>
        <v>#N/A</v>
      </c>
      <c r="G9" s="66"/>
    </row>
    <row r="10" spans="1:20" x14ac:dyDescent="0.25">
      <c r="A10" s="96" t="s">
        <v>5</v>
      </c>
      <c r="B10" s="97" t="e">
        <f>(HLOOKUP(B3,output_collect!$C$4:$ZZ$59,28)*(1-$P$3)+HLOOKUP(B4,output_collect!$C$4:$ZZ$59,28)*$P$3)/(HLOOKUP(B3,output_collect!$C$4:$ZZ$59,25)*(1-$P$3)+HLOOKUP(B4,output_collect!$C$4:$ZZ$59,25)*$P$3)*3</f>
        <v>#N/A</v>
      </c>
      <c r="C10" s="97" t="e">
        <f>(HLOOKUP(C3,output_collect!$C$4:$ZZ$59,28)*(1-$P$3)+HLOOKUP(C4,output_collect!$C$4:$ZZ$59,28)*$P$3)/(HLOOKUP(C3,output_collect!$C$4:$ZZ$59,25)*(1-$P$3)+HLOOKUP(C4,output_collect!$C$4:$ZZ$59,25)*$P$3)*3</f>
        <v>#N/A</v>
      </c>
      <c r="D10" s="97" t="e">
        <f>(HLOOKUP(D3,output_collect!$C$4:$ZZ$59,28)*(1-$P$3)+HLOOKUP(D4,output_collect!$C$4:$ZZ$59,28)*$P$3)/(HLOOKUP(D3,output_collect!$C$4:$ZZ$59,25)*(1-$P$3)+HLOOKUP(D4,output_collect!$C$4:$ZZ$59,25)*$P$3)*3</f>
        <v>#N/A</v>
      </c>
      <c r="E10" s="97" t="e">
        <f>(HLOOKUP(E3,output_collect!$C$4:$ZZ$59,28)*(1-$P$3)+HLOOKUP(E4,output_collect!$C$4:$ZZ$59,28)*$P$3)/(HLOOKUP(E3,output_collect!$C$4:$ZZ$59,25)*(1-$P$3)+HLOOKUP(E4,output_collect!$C$4:$ZZ$59,25)*$P$3)*3</f>
        <v>#N/A</v>
      </c>
      <c r="F10" s="97" t="e">
        <f>(HLOOKUP(F3,output_collect!$C$4:$ZZ$59,28)*(1-$P$3)+HLOOKUP(F4,output_collect!$C$4:$ZZ$59,28)*$P$3)/(HLOOKUP(F3,output_collect!$C$4:$ZZ$59,25)*(1-$P$3)+HLOOKUP(F4,output_collect!$C$4:$ZZ$59,25)*$P$3)*3</f>
        <v>#N/A</v>
      </c>
      <c r="G10" s="66"/>
    </row>
    <row r="11" spans="1:20" ht="15.75" x14ac:dyDescent="0.25">
      <c r="A11" s="123" t="s">
        <v>71</v>
      </c>
      <c r="B11" s="123"/>
      <c r="C11" s="123"/>
      <c r="D11" s="123"/>
      <c r="E11" s="123"/>
      <c r="F11" s="123"/>
      <c r="G11" s="66"/>
    </row>
    <row r="12" spans="1:20" x14ac:dyDescent="0.25">
      <c r="A12" s="96" t="s">
        <v>70</v>
      </c>
      <c r="B12" s="97" t="e">
        <f>(HLOOKUP(B3,output_collect!$C$4:$ZZ$59,5)*(1-$P$3)*(1-P$5)+HLOOKUP(B4,output_collect!$C$4:$ZZ$59,5)*$P$3*(1-P$6))/((1-$P$3)*(1-P$5)+$P$3*(1-P$6))/3</f>
        <v>#N/A</v>
      </c>
      <c r="C12" s="97" t="e">
        <f>(HLOOKUP(C3,output_collect!$C$4:$ZZ$59,5)*(1-$P$3)*(1-Q$5)+HLOOKUP(C4,output_collect!$C$4:$ZZ$59,5)*$P$3*(1-Q$6))/((1-$P$3)*(1-Q$5)+$P$3*(1-Q$6))/3</f>
        <v>#N/A</v>
      </c>
      <c r="D12" s="97" t="e">
        <f>(HLOOKUP(D3,output_collect!$C$4:$ZZ$59,5)*(1-$P$3)*(1-R$5)+HLOOKUP(D4,output_collect!$C$4:$ZZ$59,5)*$P$3*(1-R$6))/((1-$P$3)*(1-R$5)+$P$3*(1-R$6))/3</f>
        <v>#N/A</v>
      </c>
      <c r="E12" s="97" t="e">
        <f>(HLOOKUP(E3,output_collect!$C$4:$ZZ$59,5)*(1-$P$3)*(1-S$5)+HLOOKUP(E4,output_collect!$C$4:$ZZ$59,5)*$P$3*(1-S$6))/((1-$P$3)*(1-S$5)+$P$3*(1-S$6))/3</f>
        <v>#N/A</v>
      </c>
      <c r="F12" s="97"/>
      <c r="G12" s="66"/>
    </row>
    <row r="13" spans="1:20" x14ac:dyDescent="0.25">
      <c r="A13" s="96" t="s">
        <v>39</v>
      </c>
      <c r="B13" s="97"/>
      <c r="C13" s="97" t="e">
        <f>(HLOOKUP(C3,output_collect!$C$4:$ZZ$59,6)*(1-$P$3)*(Q$5)+HLOOKUP(C4,output_collect!$C$4:$ZZ$59,6)*$P$3*(Q$6))/((1-$P$3)*(Q$5)+$P$3*(Q$6))/3</f>
        <v>#N/A</v>
      </c>
      <c r="D13" s="97" t="e">
        <f>(HLOOKUP(D3,output_collect!$C$4:$ZZ$59,6)*(1-$P$3)*(R$5)+HLOOKUP(D4,output_collect!$C$4:$ZZ$59,6)*$P$3*(R$6))/((1-$P$3)*(R$5)+$P$3*(R$6))/3</f>
        <v>#N/A</v>
      </c>
      <c r="E13" s="97" t="e">
        <f>(HLOOKUP(E3,output_collect!$C$4:$ZZ$59,6)*(1-$P$3)*(S$5)+HLOOKUP(E4,output_collect!$C$4:$ZZ$59,6)*$P$3*(S$6))/((1-$P$3)*(S$5)+$P$3*(S$6))/3</f>
        <v>#N/A</v>
      </c>
      <c r="F13" s="97" t="e">
        <f>(HLOOKUP(F3,output_collect!$C$4:$ZZ$59,6)*(1-$P$3)*(T$5)+HLOOKUP(F4,output_collect!$C$4:$ZZ$59,6)*$P$3*(T$6))/((1-$P$3)*(T$5)+$P$3*(T$6))/3</f>
        <v>#N/A</v>
      </c>
      <c r="G13" s="66"/>
    </row>
    <row r="14" spans="1:20" x14ac:dyDescent="0.25">
      <c r="A14" s="96" t="s">
        <v>5</v>
      </c>
      <c r="B14" s="97" t="e">
        <f>(HLOOKUP(B3,output_collect!$C$4:$ZZ$59,7)*(1-$P$3)+HLOOKUP(B4,output_collect!$C$4:$ZZ$59,7)*$P$3)/3</f>
        <v>#N/A</v>
      </c>
      <c r="C14" s="97" t="e">
        <f>(HLOOKUP(C3,output_collect!$C$4:$ZZ$59,7)*(1-$P$3)+HLOOKUP(C4,output_collect!$C$4:$ZZ$59,7)*$P$3)/3</f>
        <v>#N/A</v>
      </c>
      <c r="D14" s="97" t="e">
        <f>(HLOOKUP(D3,output_collect!$C$4:$ZZ$59,7)*(1-$P$3)+HLOOKUP(D4,output_collect!$C$4:$ZZ$59,7)*$P$3)/3</f>
        <v>#N/A</v>
      </c>
      <c r="E14" s="97" t="e">
        <f>(HLOOKUP(E3,output_collect!$C$4:$ZZ$59,7)*(1-$P$3)+HLOOKUP(E4,output_collect!$C$4:$ZZ$59,7)*$P$3)/3</f>
        <v>#N/A</v>
      </c>
      <c r="F14" s="97" t="e">
        <f>(HLOOKUP(F3,output_collect!$C$4:$ZZ$59,7)*(1-$P$3)+HLOOKUP(F4,output_collect!$C$4:$ZZ$59,7)*$P$3)/3</f>
        <v>#N/A</v>
      </c>
      <c r="G14" s="66"/>
    </row>
    <row r="15" spans="1:20" ht="15.75" x14ac:dyDescent="0.25">
      <c r="A15" s="123" t="s">
        <v>72</v>
      </c>
      <c r="B15" s="123"/>
      <c r="C15" s="123"/>
      <c r="D15" s="123"/>
      <c r="E15" s="123"/>
      <c r="F15" s="123"/>
      <c r="G15" s="66"/>
    </row>
    <row r="16" spans="1:20" x14ac:dyDescent="0.25">
      <c r="A16" s="96" t="s">
        <v>70</v>
      </c>
      <c r="B16" s="97" t="e">
        <f>(1+(HLOOKUP(B3,output_collect!$C$4:$ZZ$59,10)*HLOOKUP(B3,output_collect!$C$4:$ZZ$59,26)*(1-$P$3)*(1-P$5)+HLOOKUP(B4,output_collect!$C$4:$ZZ$59,10)*HLOOKUP(B4,output_collect!$C$4:$ZZ$59,26)*$P$3*(1-P$6))/(HLOOKUP(B3,output_collect!$C$4:$ZZ$59,26)*(1-$P$3)*(1-P$5)+HLOOKUP(B4,output_collect!$C$4:$ZZ$59,26)*$P$3*(1-P$6)))^(1/3)-1</f>
        <v>#N/A</v>
      </c>
      <c r="C16" s="97" t="e">
        <f>(1+(HLOOKUP(C3,output_collect!$C$4:$ZZ$59,10)*HLOOKUP(C3,output_collect!$C$4:$ZZ$59,26)*(1-$P$3)*(1-Q$5)+HLOOKUP(C4,output_collect!$C$4:$ZZ$59,10)*HLOOKUP(C4,output_collect!$C$4:$ZZ$59,26)*$P$3*(1-Q$6))/(HLOOKUP(C3,output_collect!$C$4:$ZZ$59,26)*(1-$P$3)*(1-Q$5)+HLOOKUP(C4,output_collect!$C$4:$ZZ$59,26)*$P$3*(1-Q$6)))^(1/3)-1</f>
        <v>#N/A</v>
      </c>
      <c r="D16" s="97" t="e">
        <f>(1+(HLOOKUP(D3,output_collect!$C$4:$ZZ$59,10)*HLOOKUP(D3,output_collect!$C$4:$ZZ$59,26)*(1-$P$3)*(1-R$5)+HLOOKUP(D4,output_collect!$C$4:$ZZ$59,10)*HLOOKUP(D4,output_collect!$C$4:$ZZ$59,26)*$P$3*(1-R$6))/(HLOOKUP(D3,output_collect!$C$4:$ZZ$59,26)*(1-$P$3)*(1-R$5)+HLOOKUP(D4,output_collect!$C$4:$ZZ$59,26)*$P$3*(1-R$6)))^(1/3)-1</f>
        <v>#N/A</v>
      </c>
      <c r="E16" s="97" t="e">
        <f>(1+(HLOOKUP(E3,output_collect!$C$4:$ZZ$59,10)*HLOOKUP(E3,output_collect!$C$4:$ZZ$59,26)*(1-$P$3)*(1-S$5)+HLOOKUP(E4,output_collect!$C$4:$ZZ$59,10)*HLOOKUP(E4,output_collect!$C$4:$ZZ$59,26)*$P$3*(1-S$6))/(HLOOKUP(E3,output_collect!$C$4:$ZZ$59,26)*(1-$P$3)*(1-S$5)+HLOOKUP(E4,output_collect!$C$4:$ZZ$59,26)*$P$3*(1-S$6)))^(1/3)-1</f>
        <v>#N/A</v>
      </c>
      <c r="F16" s="97"/>
      <c r="G16" s="66"/>
    </row>
    <row r="17" spans="1:7" x14ac:dyDescent="0.25">
      <c r="A17" s="96" t="s">
        <v>39</v>
      </c>
      <c r="B17" s="97"/>
      <c r="C17" s="97" t="e">
        <f>(1+(HLOOKUP(C3,output_collect!$C$4:$ZZ$59,11)*HLOOKUP(C3,output_collect!$C$4:$ZZ$59,27)*(1-$P$3)*(Q$5)+HLOOKUP(C4,output_collect!$C$4:$ZZ$59,11)*HLOOKUP(C4,output_collect!$C$4:$ZZ$59,27)*$P$3*(Q$6))/(HLOOKUP(C3,output_collect!$C$4:$ZZ$59,27)*(1-$P$3)*(Q$5)+HLOOKUP(C4,output_collect!$C$4:$ZZ$59,27)*$P$3*(Q$6)))^(1/3)-1</f>
        <v>#N/A</v>
      </c>
      <c r="D17" s="97" t="e">
        <f>(1+(HLOOKUP(D3,output_collect!$C$4:$ZZ$59,11)*HLOOKUP(D3,output_collect!$C$4:$ZZ$59,27)*(1-$P$3)*(R$5)+HLOOKUP(D4,output_collect!$C$4:$ZZ$59,11)*HLOOKUP(D4,output_collect!$C$4:$ZZ$59,27)*$P$3*(R$6))/(HLOOKUP(D3,output_collect!$C$4:$ZZ$59,27)*(1-$P$3)*(R$5)+HLOOKUP(D4,output_collect!$C$4:$ZZ$59,27)*$P$3*(R$6)))^(1/3)-1</f>
        <v>#N/A</v>
      </c>
      <c r="E17" s="97" t="e">
        <f>(1+(HLOOKUP(E3,output_collect!$C$4:$ZZ$59,11)*HLOOKUP(E3,output_collect!$C$4:$ZZ$59,27)*(1-$P$3)*(S$5)+HLOOKUP(E4,output_collect!$C$4:$ZZ$59,11)*HLOOKUP(E4,output_collect!$C$4:$ZZ$59,27)*$P$3*(S$6))/(HLOOKUP(E3,output_collect!$C$4:$ZZ$59,27)*(1-$P$3)*(S$5)+HLOOKUP(E4,output_collect!$C$4:$ZZ$59,27)*$P$3*(S$6)))^(1/3)-1</f>
        <v>#N/A</v>
      </c>
      <c r="F17" s="97" t="e">
        <f>(1+(HLOOKUP(F3,output_collect!$C$4:$ZZ$59,11)*HLOOKUP(F3,output_collect!$C$4:$ZZ$59,27)*(1-$P$3)*(T$5)+HLOOKUP(F4,output_collect!$C$4:$ZZ$59,11)*HLOOKUP(F4,output_collect!$C$4:$ZZ$59,27)*$P$3*(T$6))/(HLOOKUP(F3,output_collect!$C$4:$ZZ$59,27)*(1-$P$3)*(T$5)+HLOOKUP(F4,output_collect!$C$4:$ZZ$59,27)*$P$3*(T$6)))^(1/3)-1</f>
        <v>#N/A</v>
      </c>
      <c r="G17" s="66"/>
    </row>
    <row r="18" spans="1:7" x14ac:dyDescent="0.25">
      <c r="A18" s="96" t="s">
        <v>5</v>
      </c>
      <c r="B18" s="97" t="e">
        <f>(1+(HLOOKUP(B3,output_collect!$C$4:$ZZ$59,12)*HLOOKUP(B3,output_collect!$C$4:$ZZ$59,28)*(1-$P$3)+HLOOKUP(B4,output_collect!$C$4:$ZZ$59,12)*HLOOKUP(B4,output_collect!$C$4:$ZZ$59,28)*($P$3))/(HLOOKUP(B3,output_collect!$C$4:$ZZ$59,28)*(1-$P$3)+HLOOKUP(B4,output_collect!$C$4:$ZZ$59,28)*$P$3))^(1/3)-1</f>
        <v>#N/A</v>
      </c>
      <c r="C18" s="97" t="e">
        <f>(1+(HLOOKUP(C3,output_collect!$C$4:$ZZ$59,12)*HLOOKUP(C3,output_collect!$C$4:$ZZ$59,28)*(1-$P$3)+HLOOKUP(C4,output_collect!$C$4:$ZZ$59,12)*HLOOKUP(C4,output_collect!$C$4:$ZZ$59,28)*($P$3))/(HLOOKUP(C3,output_collect!$C$4:$ZZ$59,28)*(1-$P$3)+HLOOKUP(C4,output_collect!$C$4:$ZZ$59,28)*$P$3))^(1/3)-1</f>
        <v>#N/A</v>
      </c>
      <c r="D18" s="97" t="e">
        <f>(1+(HLOOKUP(D3,output_collect!$C$4:$ZZ$59,12)*HLOOKUP(D3,output_collect!$C$4:$ZZ$59,28)*(1-$P$3)+HLOOKUP(D4,output_collect!$C$4:$ZZ$59,12)*HLOOKUP(D4,output_collect!$C$4:$ZZ$59,28)*($P$3))/(HLOOKUP(D3,output_collect!$C$4:$ZZ$59,28)*(1-$P$3)+HLOOKUP(D4,output_collect!$C$4:$ZZ$59,28)*$P$3))^(1/3)-1</f>
        <v>#N/A</v>
      </c>
      <c r="E18" s="97" t="e">
        <f>(1+(HLOOKUP(E3,output_collect!$C$4:$ZZ$59,12)*HLOOKUP(E3,output_collect!$C$4:$ZZ$59,28)*(1-$P$3)+HLOOKUP(E4,output_collect!$C$4:$ZZ$59,12)*HLOOKUP(E4,output_collect!$C$4:$ZZ$59,28)*($P$3))/(HLOOKUP(E3,output_collect!$C$4:$ZZ$59,28)*(1-$P$3)+HLOOKUP(E4,output_collect!$C$4:$ZZ$59,28)*$P$3))^(1/3)-1</f>
        <v>#N/A</v>
      </c>
      <c r="F18" s="97" t="e">
        <f>(1+(HLOOKUP(F3,output_collect!$C$4:$ZZ$59,12)*HLOOKUP(F3,output_collect!$C$4:$ZZ$59,28)*(1-$P$3)+HLOOKUP(F4,output_collect!$C$4:$ZZ$59,12)*HLOOKUP(F4,output_collect!$C$4:$ZZ$59,28)*($P$3))/(HLOOKUP(F3,output_collect!$C$4:$ZZ$59,28)*(1-$P$3)+HLOOKUP(F4,output_collect!$C$4:$ZZ$59,28)*$P$3))^(1/3)-1</f>
        <v>#N/A</v>
      </c>
      <c r="G18" s="66"/>
    </row>
    <row r="19" spans="1:7" ht="15.75" x14ac:dyDescent="0.25">
      <c r="A19" s="82"/>
      <c r="B19" s="82"/>
      <c r="C19" s="82"/>
      <c r="D19" s="82"/>
      <c r="E19" s="82"/>
      <c r="F19" s="82"/>
      <c r="G19" s="66"/>
    </row>
    <row r="20" spans="1:7" x14ac:dyDescent="0.25">
      <c r="A20" s="83"/>
      <c r="B20" s="70"/>
      <c r="C20" s="70"/>
      <c r="D20" s="70"/>
      <c r="E20" s="70"/>
      <c r="F20" s="70"/>
      <c r="G20" s="66"/>
    </row>
    <row r="21" spans="1:7" x14ac:dyDescent="0.25">
      <c r="A21" s="66"/>
      <c r="B21" s="66"/>
      <c r="C21" s="66"/>
      <c r="D21" s="66"/>
      <c r="E21" s="66"/>
      <c r="F21" s="66"/>
      <c r="G21" s="66"/>
    </row>
    <row r="22" spans="1:7" x14ac:dyDescent="0.25">
      <c r="A22" s="66"/>
      <c r="B22" s="66"/>
      <c r="C22" s="66"/>
      <c r="D22" s="66"/>
      <c r="E22" s="66"/>
      <c r="F22" s="66"/>
      <c r="G22" s="66"/>
    </row>
    <row r="25" spans="1:7" x14ac:dyDescent="0.25">
      <c r="A25" s="73" t="s">
        <v>117</v>
      </c>
    </row>
    <row r="28" spans="1:7" x14ac:dyDescent="0.25">
      <c r="A28" t="s">
        <v>35</v>
      </c>
      <c r="B28">
        <v>271110</v>
      </c>
      <c r="C28">
        <v>271111</v>
      </c>
      <c r="D28">
        <v>600001</v>
      </c>
      <c r="E28">
        <v>271120</v>
      </c>
    </row>
    <row r="29" spans="1:7" x14ac:dyDescent="0.25">
      <c r="B29">
        <v>272210</v>
      </c>
      <c r="C29">
        <v>272211</v>
      </c>
      <c r="D29">
        <v>600002</v>
      </c>
      <c r="E29">
        <v>272220</v>
      </c>
    </row>
    <row r="30" spans="1:7" x14ac:dyDescent="0.25">
      <c r="A30" s="124" t="s">
        <v>118</v>
      </c>
      <c r="B30" s="124"/>
      <c r="C30" s="124"/>
      <c r="D30" s="124"/>
      <c r="E30" s="124"/>
      <c r="F30" s="92"/>
    </row>
    <row r="31" spans="1:7" x14ac:dyDescent="0.25">
      <c r="B31">
        <v>1</v>
      </c>
      <c r="C31">
        <v>1.1000000000000001</v>
      </c>
      <c r="D31">
        <v>1.2849999999999999</v>
      </c>
      <c r="E31">
        <v>2</v>
      </c>
      <c r="F31" s="93"/>
    </row>
    <row r="32" spans="1:7" ht="15.75" x14ac:dyDescent="0.25">
      <c r="A32" s="123" t="s">
        <v>69</v>
      </c>
      <c r="B32" s="123"/>
      <c r="C32" s="123"/>
      <c r="D32" s="123"/>
      <c r="E32" s="123"/>
      <c r="F32" s="91"/>
    </row>
    <row r="33" spans="1:6" ht="15.75" x14ac:dyDescent="0.25">
      <c r="A33" s="96" t="s">
        <v>70</v>
      </c>
      <c r="B33" s="97" t="e">
        <f>(HLOOKUP(B28,output_collect!$C$4:$ZZ$59,26)*(1-$P$3)*(1-$R$5)+HLOOKUP(B29,output_collect!$C$4:$ZZ$59,26)*$P$3*(1-$R$6))/(HLOOKUP(B28,output_collect!$C$4:$ZZ$59,23)*(1-$P$3)*(1-$R$5)+HLOOKUP(B29,output_collect!$C$4:$ZZ$59,23)*$P$3*(1-$R$6))*3</f>
        <v>#N/A</v>
      </c>
      <c r="C33" s="97" t="e">
        <f>(HLOOKUP(C28,output_collect!$C$4:$ZZ$59,26)*(1-$P$3)*(1-$R$5)+HLOOKUP(C29,output_collect!$C$4:$ZZ$59,26)*$P$3*(1-$R$6))/(HLOOKUP(C28,output_collect!$C$4:$ZZ$59,23)*(1-$P$3)*(1-$R$5)+HLOOKUP(C29,output_collect!$C$4:$ZZ$59,23)*$P$3*(1-$R$6))*3</f>
        <v>#N/A</v>
      </c>
      <c r="D33" s="97" t="e">
        <f>(HLOOKUP(D28,output_collect!$C$4:$ZZ$59,26)*(1-$P$3)*(1-$R$5)+HLOOKUP(D29,output_collect!$C$4:$ZZ$59,26)*$P$3*(1-$R$6))/(HLOOKUP(D28,output_collect!$C$4:$ZZ$59,23)*(1-$P$3)*(1-$R$5)+HLOOKUP(D29,output_collect!$C$4:$ZZ$59,23)*$P$3*(1-$R$6))*3</f>
        <v>#N/A</v>
      </c>
      <c r="E33" s="97" t="e">
        <f>(HLOOKUP(E28,output_collect!$C$4:$ZZ$59,26)*(1-$P$3)*(1-$R$5)+HLOOKUP(E29,output_collect!$C$4:$ZZ$59,26)*$P$3*(1-$R$6))/(HLOOKUP(E28,output_collect!$C$4:$ZZ$59,23)*(1-$P$3)*(1-$R$5)+HLOOKUP(E29,output_collect!$C$4:$ZZ$59,23)*$P$3*(1-$R$6))*3</f>
        <v>#N/A</v>
      </c>
      <c r="F33" s="82"/>
    </row>
    <row r="34" spans="1:6" x14ac:dyDescent="0.25">
      <c r="A34" s="96" t="s">
        <v>39</v>
      </c>
      <c r="B34" s="97" t="e">
        <f>(HLOOKUP(B28,output_collect!$C$4:$ZZ$59,27)*(1-$P$3)*($R$5)+HLOOKUP(B29,output_collect!$C$4:$ZZ$59,27)*$P$3*($R$6))/(HLOOKUP(B28,output_collect!$C$4:$ZZ$59,24)*(1-$P$3)*($R$5)+HLOOKUP(B29,output_collect!$C$4:$ZZ$59,24)*$P$3*($R$6))*3</f>
        <v>#N/A</v>
      </c>
      <c r="C34" s="97" t="e">
        <f>(HLOOKUP(C28,output_collect!$C$4:$ZZ$59,27)*(1-$P$3)*($R$5)+HLOOKUP(C29,output_collect!$C$4:$ZZ$59,27)*$P$3*($R$6))/(HLOOKUP(C28,output_collect!$C$4:$ZZ$59,24)*(1-$P$3)*($R$5)+HLOOKUP(C29,output_collect!$C$4:$ZZ$59,24)*$P$3*($R$6))*3</f>
        <v>#N/A</v>
      </c>
      <c r="D34" s="97" t="e">
        <f>(HLOOKUP(D28,output_collect!$C$4:$ZZ$59,27)*(1-$P$3)*($R$5)+HLOOKUP(D29,output_collect!$C$4:$ZZ$59,27)*$P$3*($R$6))/(HLOOKUP(D28,output_collect!$C$4:$ZZ$59,24)*(1-$P$3)*($R$5)+HLOOKUP(D29,output_collect!$C$4:$ZZ$59,24)*$P$3*($R$6))*3</f>
        <v>#N/A</v>
      </c>
      <c r="E34" s="97" t="e">
        <f>(HLOOKUP(E28,output_collect!$C$4:$ZZ$59,27)*(1-$P$3)*($R$5)+HLOOKUP(E29,output_collect!$C$4:$ZZ$59,27)*$P$3*($R$6))/(HLOOKUP(E28,output_collect!$C$4:$ZZ$59,24)*(1-$P$3)*($R$5)+HLOOKUP(E29,output_collect!$C$4:$ZZ$59,24)*$P$3*($R$6))*3</f>
        <v>#N/A</v>
      </c>
      <c r="F34" s="70"/>
    </row>
    <row r="35" spans="1:6" x14ac:dyDescent="0.25">
      <c r="A35" s="96" t="s">
        <v>5</v>
      </c>
      <c r="B35" s="97" t="e">
        <f>(HLOOKUP(B28,output_collect!$C$4:$ZZ$59,28)*(1-$P$3)+HLOOKUP(B29,output_collect!$C$4:$ZZ$59,28)*$P$3)/(HLOOKUP(B28,output_collect!$C$4:$ZZ$59,25)*(1-$P$3)+HLOOKUP(B29,output_collect!$C$4:$ZZ$59,25)*$P$3)*3</f>
        <v>#N/A</v>
      </c>
      <c r="C35" s="97" t="e">
        <f>(HLOOKUP(C28,output_collect!$C$4:$ZZ$59,28)*(1-$P$3)+HLOOKUP(C29,output_collect!$C$4:$ZZ$59,28)*$P$3)/(HLOOKUP(C28,output_collect!$C$4:$ZZ$59,25)*(1-$P$3)+HLOOKUP(C29,output_collect!$C$4:$ZZ$59,25)*$P$3)*3</f>
        <v>#N/A</v>
      </c>
      <c r="D35" s="97" t="e">
        <f>(HLOOKUP(D28,output_collect!$C$4:$ZZ$59,28)*(1-$P$3)+HLOOKUP(D29,output_collect!$C$4:$ZZ$59,28)*$P$3)/(HLOOKUP(D28,output_collect!$C$4:$ZZ$59,25)*(1-$P$3)+HLOOKUP(D29,output_collect!$C$4:$ZZ$59,25)*$P$3)*3</f>
        <v>#N/A</v>
      </c>
      <c r="E35" s="97" t="e">
        <f>(HLOOKUP(E28,output_collect!$C$4:$ZZ$59,28)*(1-$P$3)+HLOOKUP(E29,output_collect!$C$4:$ZZ$59,28)*$P$3)/(HLOOKUP(E28,output_collect!$C$4:$ZZ$59,25)*(1-$P$3)+HLOOKUP(E29,output_collect!$C$4:$ZZ$59,25)*$P$3)*3</f>
        <v>#N/A</v>
      </c>
      <c r="F35" s="70"/>
    </row>
    <row r="36" spans="1:6" ht="15.75" x14ac:dyDescent="0.25">
      <c r="A36" s="123" t="s">
        <v>71</v>
      </c>
      <c r="B36" s="123"/>
      <c r="C36" s="123"/>
      <c r="D36" s="123"/>
      <c r="E36" s="123"/>
      <c r="F36" s="70"/>
    </row>
    <row r="37" spans="1:6" x14ac:dyDescent="0.25">
      <c r="A37" s="96" t="s">
        <v>70</v>
      </c>
      <c r="B37" s="97" t="e">
        <f>(HLOOKUP(B28,output_collect!$C$4:$ZZ$59,5)*(1-$P$3)*(1-$R$5)+HLOOKUP(B29,output_collect!$C$4:$ZZ$59,5)*$P$3*(1-$R$6))/((1-$P$3)*(1-$R$5)+$P$3*(1-$R$6))/3</f>
        <v>#N/A</v>
      </c>
      <c r="C37" s="97" t="e">
        <f>(HLOOKUP(C28,output_collect!$C$4:$ZZ$59,5)*(1-$P$3)*(1-$R$5)+HLOOKUP(C29,output_collect!$C$4:$ZZ$59,5)*$P$3*(1-$R$6))/((1-$P$3)*(1-$R$5)+$P$3*(1-$R$6))/3</f>
        <v>#N/A</v>
      </c>
      <c r="D37" s="97" t="e">
        <f>(HLOOKUP(D28,output_collect!$C$4:$ZZ$59,5)*(1-$P$3)*(1-$R$5)+HLOOKUP(D29,output_collect!$C$4:$ZZ$59,5)*$P$3*(1-$R$6))/((1-$P$3)*(1-$R$5)+$P$3*(1-$R$6))/3</f>
        <v>#N/A</v>
      </c>
      <c r="E37" s="97" t="e">
        <f>(HLOOKUP(E28,output_collect!$C$4:$ZZ$59,5)*(1-$P$3)*(1-$R$5)+HLOOKUP(E29,output_collect!$C$4:$ZZ$59,5)*$P$3*(1-$R$6))/((1-$P$3)*(1-$R$5)+$P$3*(1-$R$6))/3</f>
        <v>#N/A</v>
      </c>
      <c r="F37" s="70"/>
    </row>
    <row r="38" spans="1:6" ht="15.75" x14ac:dyDescent="0.25">
      <c r="A38" s="96" t="s">
        <v>39</v>
      </c>
      <c r="B38" s="97" t="e">
        <f>(HLOOKUP(B28,output_collect!$C$4:$ZZ$59,6)*(1-$P$3)*($R$5)+HLOOKUP(B29,output_collect!$C$4:$ZZ$59,6)*$P$3*($R$6))/((1-$P$3)*($R$5)+$P$3*($R$6))/3</f>
        <v>#N/A</v>
      </c>
      <c r="C38" s="97" t="e">
        <f>(HLOOKUP(C28,output_collect!$C$4:$ZZ$59,6)*(1-$P$3)*($R$5)+HLOOKUP(C29,output_collect!$C$4:$ZZ$59,6)*$P$3*($R$6))/((1-$P$3)*($R$5)+$P$3*($R$6))/3</f>
        <v>#N/A</v>
      </c>
      <c r="D38" s="97" t="e">
        <f>(HLOOKUP(D28,output_collect!$C$4:$ZZ$59,6)*(1-$P$3)*($R$5)+HLOOKUP(D29,output_collect!$C$4:$ZZ$59,6)*$P$3*($R$6))/((1-$P$3)*($R$5)+$P$3*($R$6))/3</f>
        <v>#N/A</v>
      </c>
      <c r="E38" s="97" t="e">
        <f>(HLOOKUP(E28,output_collect!$C$4:$ZZ$59,6)*(1-$P$3)*($R$5)+HLOOKUP(E29,output_collect!$C$4:$ZZ$59,6)*$P$3*($R$6))/((1-$P$3)*($R$5)+$P$3*($R$6))/3</f>
        <v>#N/A</v>
      </c>
      <c r="F38" s="82"/>
    </row>
    <row r="39" spans="1:6" x14ac:dyDescent="0.25">
      <c r="A39" s="96" t="s">
        <v>5</v>
      </c>
      <c r="B39" s="97" t="e">
        <f>(HLOOKUP(B28,output_collect!$C$4:$ZZ$59,7)*(1-$P$3)+HLOOKUP(B29,output_collect!$C$4:$ZZ$59,7)*$P$3)/3</f>
        <v>#N/A</v>
      </c>
      <c r="C39" s="97" t="e">
        <f>(HLOOKUP(C28,output_collect!$C$4:$ZZ$59,7)*(1-$P$3)+HLOOKUP(C29,output_collect!$C$4:$ZZ$59,7)*$P$3)/3</f>
        <v>#N/A</v>
      </c>
      <c r="D39" s="97" t="e">
        <f>(HLOOKUP(D28,output_collect!$C$4:$ZZ$59,7)*(1-$P$3)+HLOOKUP(D29,output_collect!$C$4:$ZZ$59,7)*$P$3)/3</f>
        <v>#N/A</v>
      </c>
      <c r="E39" s="97" t="e">
        <f>(HLOOKUP(E28,output_collect!$C$4:$ZZ$59,7)*(1-$P$3)+HLOOKUP(E29,output_collect!$C$4:$ZZ$59,7)*$P$3)/3</f>
        <v>#N/A</v>
      </c>
      <c r="F39" s="70"/>
    </row>
    <row r="40" spans="1:6" ht="15.75" x14ac:dyDescent="0.25">
      <c r="A40" s="123" t="s">
        <v>72</v>
      </c>
      <c r="B40" s="123"/>
      <c r="C40" s="123"/>
      <c r="D40" s="123"/>
      <c r="E40" s="123"/>
      <c r="F40" s="70"/>
    </row>
    <row r="41" spans="1:6" x14ac:dyDescent="0.25">
      <c r="A41" s="96" t="s">
        <v>70</v>
      </c>
      <c r="B41" s="97" t="e">
        <f>(1+(HLOOKUP(B28,output_collect!$C$4:$ZZ$59,10)*HLOOKUP(B28,output_collect!$C$4:$ZZ$59,26)*(1-$P$3)*(1-$R$5)+HLOOKUP(B29,output_collect!$C$4:$ZZ$59,10)*HLOOKUP(B29,output_collect!$C$4:$ZZ$59,26)*$P$3*(1-$R$6))/(HLOOKUP(B28,output_collect!$C$4:$ZZ$59,26)*(1-$P$3)*(1-$R$5)+HLOOKUP(B29,output_collect!$C$4:$ZZ$59,26)*$P$3*(1-$R$6)))^(1/3)-1</f>
        <v>#N/A</v>
      </c>
      <c r="C41" s="97" t="e">
        <f>(1+(HLOOKUP(C28,output_collect!$C$4:$ZZ$59,10)*HLOOKUP(C28,output_collect!$C$4:$ZZ$59,26)*(1-$P$3)*(1-$R$5)+HLOOKUP(C29,output_collect!$C$4:$ZZ$59,10)*HLOOKUP(C29,output_collect!$C$4:$ZZ$59,26)*$P$3*(1-$R$6))/(HLOOKUP(C28,output_collect!$C$4:$ZZ$59,26)*(1-$P$3)*(1-$R$5)+HLOOKUP(C29,output_collect!$C$4:$ZZ$59,26)*$P$3*(1-$R$6)))^(1/3)-1</f>
        <v>#N/A</v>
      </c>
      <c r="D41" s="97" t="e">
        <f>(1+(HLOOKUP(D28,output_collect!$C$4:$ZZ$59,10)*HLOOKUP(D28,output_collect!$C$4:$ZZ$59,26)*(1-$P$3)*(1-$R$5)+HLOOKUP(D29,output_collect!$C$4:$ZZ$59,10)*HLOOKUP(D29,output_collect!$C$4:$ZZ$59,26)*$P$3*(1-$R$6))/(HLOOKUP(D28,output_collect!$C$4:$ZZ$59,26)*(1-$P$3)*(1-$R$5)+HLOOKUP(D29,output_collect!$C$4:$ZZ$59,26)*$P$3*(1-$R$6)))^(1/3)-1</f>
        <v>#N/A</v>
      </c>
      <c r="E41" s="97" t="e">
        <f>(1+(HLOOKUP(E28,output_collect!$C$4:$ZZ$59,10)*HLOOKUP(E28,output_collect!$C$4:$ZZ$59,26)*(1-$P$3)*(1-$R$5)+HLOOKUP(E29,output_collect!$C$4:$ZZ$59,10)*HLOOKUP(E29,output_collect!$C$4:$ZZ$59,26)*$P$3*(1-$R$6))/(HLOOKUP(E28,output_collect!$C$4:$ZZ$59,26)*(1-$P$3)*(1-$R$5)+HLOOKUP(E29,output_collect!$C$4:$ZZ$59,26)*$P$3*(1-$R$6)))^(1/3)-1</f>
        <v>#N/A</v>
      </c>
      <c r="F41" s="70"/>
    </row>
    <row r="42" spans="1:6" x14ac:dyDescent="0.25">
      <c r="A42" s="96" t="s">
        <v>39</v>
      </c>
      <c r="B42" s="97" t="e">
        <f>(1+(HLOOKUP(B28,output_collect!$C$4:$ZZ$59,11)*HLOOKUP(B28,output_collect!$C$4:$ZZ$59,27)*(1-$P$3)*($R$5)+HLOOKUP(B29,output_collect!$C$4:$ZZ$59,11)*HLOOKUP(B29,output_collect!$C$4:$ZZ$59,27)*$P$3*($R$6))/(HLOOKUP(B28,output_collect!$C$4:$ZZ$59,27)*(1-$P$3)*($R$5)+HLOOKUP(B29,output_collect!$C$4:$ZZ$59,27)*$P$3*($R$6)))^(1/3)-1</f>
        <v>#N/A</v>
      </c>
      <c r="C42" s="97" t="e">
        <f>(1+(HLOOKUP(C28,output_collect!$C$4:$ZZ$59,11)*HLOOKUP(C28,output_collect!$C$4:$ZZ$59,27)*(1-$P$3)*($R$5)+HLOOKUP(C29,output_collect!$C$4:$ZZ$59,11)*HLOOKUP(C29,output_collect!$C$4:$ZZ$59,27)*$P$3*($R$6))/(HLOOKUP(C28,output_collect!$C$4:$ZZ$59,27)*(1-$P$3)*($R$5)+HLOOKUP(C29,output_collect!$C$4:$ZZ$59,27)*$P$3*($R$6)))^(1/3)-1</f>
        <v>#N/A</v>
      </c>
      <c r="D42" s="97" t="e">
        <f>(1+(HLOOKUP(D28,output_collect!$C$4:$ZZ$59,11)*HLOOKUP(D28,output_collect!$C$4:$ZZ$59,27)*(1-$P$3)*($R$5)+HLOOKUP(D29,output_collect!$C$4:$ZZ$59,11)*HLOOKUP(D29,output_collect!$C$4:$ZZ$59,27)*$P$3*($R$6))/(HLOOKUP(D28,output_collect!$C$4:$ZZ$59,27)*(1-$P$3)*($R$5)+HLOOKUP(D29,output_collect!$C$4:$ZZ$59,27)*$P$3*($R$6)))^(1/3)-1</f>
        <v>#N/A</v>
      </c>
      <c r="E42" s="97" t="e">
        <f>(1+(HLOOKUP(E28,output_collect!$C$4:$ZZ$59,11)*HLOOKUP(E28,output_collect!$C$4:$ZZ$59,27)*(1-$P$3)*($R$5)+HLOOKUP(E29,output_collect!$C$4:$ZZ$59,11)*HLOOKUP(E29,output_collect!$C$4:$ZZ$59,27)*$P$3*($R$6))/(HLOOKUP(E28,output_collect!$C$4:$ZZ$59,27)*(1-$P$3)*($R$5)+HLOOKUP(E29,output_collect!$C$4:$ZZ$59,27)*$P$3*($R$6)))^(1/3)-1</f>
        <v>#N/A</v>
      </c>
      <c r="F42" s="70"/>
    </row>
    <row r="43" spans="1:6" ht="15.75" x14ac:dyDescent="0.25">
      <c r="A43" s="96" t="s">
        <v>5</v>
      </c>
      <c r="B43" s="97" t="e">
        <f>(1+(HLOOKUP(B28,output_collect!$C$4:$ZZ$59,12)*HLOOKUP(B28,output_collect!$C$4:$ZZ$59,28)*(1-$P$3)+HLOOKUP(B29,output_collect!$C$4:$ZZ$59,12)*HLOOKUP(B29,output_collect!$C$4:$ZZ$59,28)*($P$3))/(HLOOKUP(B28,output_collect!$C$4:$ZZ$59,28)*(1-$P$3)+HLOOKUP(B29,output_collect!$C$4:$ZZ$59,28)*$P$3))^(1/3)-1</f>
        <v>#N/A</v>
      </c>
      <c r="C43" s="97" t="e">
        <f>(1+(HLOOKUP(C28,output_collect!$C$4:$ZZ$59,12)*HLOOKUP(C28,output_collect!$C$4:$ZZ$59,28)*(1-$P$3)+HLOOKUP(C29,output_collect!$C$4:$ZZ$59,12)*HLOOKUP(C29,output_collect!$C$4:$ZZ$59,28)*($P$3))/(HLOOKUP(C28,output_collect!$C$4:$ZZ$59,28)*(1-$P$3)+HLOOKUP(C29,output_collect!$C$4:$ZZ$59,28)*$P$3))^(1/3)-1</f>
        <v>#N/A</v>
      </c>
      <c r="D43" s="97" t="e">
        <f>(1+(HLOOKUP(D28,output_collect!$C$4:$ZZ$59,12)*HLOOKUP(D28,output_collect!$C$4:$ZZ$59,28)*(1-$P$3)+HLOOKUP(D29,output_collect!$C$4:$ZZ$59,12)*HLOOKUP(D29,output_collect!$C$4:$ZZ$59,28)*($P$3))/(HLOOKUP(D28,output_collect!$C$4:$ZZ$59,28)*(1-$P$3)+HLOOKUP(D29,output_collect!$C$4:$ZZ$59,28)*$P$3))^(1/3)-1</f>
        <v>#N/A</v>
      </c>
      <c r="E43" s="97" t="e">
        <f>(1+(HLOOKUP(E28,output_collect!$C$4:$ZZ$59,12)*HLOOKUP(E28,output_collect!$C$4:$ZZ$59,28)*(1-$P$3)+HLOOKUP(E29,output_collect!$C$4:$ZZ$59,12)*HLOOKUP(E29,output_collect!$C$4:$ZZ$59,28)*($P$3))/(HLOOKUP(E28,output_collect!$C$4:$ZZ$59,28)*(1-$P$3)+HLOOKUP(E29,output_collect!$C$4:$ZZ$59,28)*$P$3))^(1/3)-1</f>
        <v>#N/A</v>
      </c>
      <c r="F43" s="82"/>
    </row>
    <row r="44" spans="1:6" x14ac:dyDescent="0.25">
      <c r="A44" s="83"/>
      <c r="B44" s="70"/>
      <c r="C44" s="70"/>
      <c r="D44" s="70"/>
      <c r="E44" s="70"/>
      <c r="F44" s="70"/>
    </row>
    <row r="45" spans="1:6" x14ac:dyDescent="0.25">
      <c r="A45" s="83"/>
      <c r="B45" s="70"/>
      <c r="C45" s="70"/>
      <c r="D45" s="70"/>
      <c r="E45" s="70"/>
      <c r="F45" s="70"/>
    </row>
    <row r="46" spans="1:6" x14ac:dyDescent="0.25">
      <c r="A46" s="83"/>
      <c r="B46" s="70"/>
      <c r="C46" s="70"/>
      <c r="D46" s="70"/>
      <c r="E46" s="70"/>
      <c r="F46" s="70"/>
    </row>
    <row r="47" spans="1:6" x14ac:dyDescent="0.25">
      <c r="A47" s="83"/>
      <c r="B47" s="70"/>
      <c r="C47" s="70"/>
      <c r="D47" s="70"/>
      <c r="E47" s="70"/>
      <c r="F47" s="70"/>
    </row>
    <row r="48" spans="1:6" ht="15.75" x14ac:dyDescent="0.25">
      <c r="A48" s="82"/>
      <c r="B48" s="82"/>
      <c r="C48" s="82"/>
      <c r="D48" s="82"/>
      <c r="E48" s="82"/>
      <c r="F48" s="82"/>
    </row>
    <row r="49" spans="1:6" x14ac:dyDescent="0.25">
      <c r="A49" s="83"/>
      <c r="B49" s="60"/>
      <c r="C49" s="70"/>
      <c r="D49" s="70"/>
      <c r="E49" s="70"/>
      <c r="F49" s="70"/>
    </row>
    <row r="50" spans="1:6" x14ac:dyDescent="0.25">
      <c r="A50" s="83"/>
      <c r="B50" s="60"/>
      <c r="C50" s="70"/>
      <c r="D50" s="70"/>
      <c r="E50" s="70"/>
      <c r="F50" s="70"/>
    </row>
    <row r="51" spans="1:6" x14ac:dyDescent="0.25">
      <c r="A51" s="83"/>
      <c r="B51" s="60"/>
      <c r="C51" s="70"/>
      <c r="D51" s="70"/>
      <c r="E51" s="70"/>
      <c r="F51" s="70"/>
    </row>
    <row r="52" spans="1:6" x14ac:dyDescent="0.25">
      <c r="A52" s="83"/>
      <c r="B52" s="70"/>
      <c r="C52" s="70"/>
      <c r="D52" s="70"/>
      <c r="E52" s="70"/>
      <c r="F52" s="70"/>
    </row>
    <row r="53" spans="1:6" ht="15.75" x14ac:dyDescent="0.25">
      <c r="A53" s="82"/>
      <c r="B53" s="82"/>
      <c r="C53" s="82"/>
      <c r="D53" s="82"/>
      <c r="E53" s="82"/>
      <c r="F53" s="82"/>
    </row>
    <row r="54" spans="1:6" x14ac:dyDescent="0.25">
      <c r="A54" s="83"/>
      <c r="B54" s="70"/>
      <c r="C54" s="70"/>
      <c r="D54" s="70"/>
      <c r="E54" s="70"/>
      <c r="F54" s="70"/>
    </row>
    <row r="55" spans="1:6" x14ac:dyDescent="0.25">
      <c r="A55" s="83"/>
      <c r="B55" s="70"/>
      <c r="C55" s="70"/>
      <c r="D55" s="70"/>
      <c r="E55" s="70"/>
      <c r="F55" s="70"/>
    </row>
    <row r="56" spans="1:6" x14ac:dyDescent="0.25">
      <c r="A56" s="83"/>
      <c r="B56" s="70"/>
      <c r="C56" s="70"/>
      <c r="D56" s="70"/>
      <c r="E56" s="70"/>
      <c r="F56" s="70"/>
    </row>
    <row r="57" spans="1:6" x14ac:dyDescent="0.25">
      <c r="A57" s="83"/>
      <c r="B57" s="70"/>
      <c r="C57" s="70"/>
      <c r="D57" s="70"/>
      <c r="E57" s="70"/>
      <c r="F57" s="70"/>
    </row>
    <row r="58" spans="1:6" x14ac:dyDescent="0.25">
      <c r="A58" s="66"/>
      <c r="B58" s="66"/>
      <c r="C58" s="66"/>
      <c r="D58" s="66"/>
      <c r="E58" s="66"/>
      <c r="F58" s="66"/>
    </row>
  </sheetData>
  <mergeCells count="7">
    <mergeCell ref="A40:E40"/>
    <mergeCell ref="A7:F7"/>
    <mergeCell ref="A11:F11"/>
    <mergeCell ref="A15:F15"/>
    <mergeCell ref="A30:E30"/>
    <mergeCell ref="A32:E32"/>
    <mergeCell ref="A36:E3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A8046-2812-4CD2-B53C-8DAF727F7E4F}">
  <dimension ref="A1:G71"/>
  <sheetViews>
    <sheetView workbookViewId="0"/>
  </sheetViews>
  <sheetFormatPr defaultRowHeight="15" x14ac:dyDescent="0.25"/>
  <cols>
    <col min="1" max="1" width="40.140625" bestFit="1" customWidth="1"/>
    <col min="2" max="2" width="12.5703125" bestFit="1" customWidth="1"/>
    <col min="3" max="3" width="16.28515625" bestFit="1" customWidth="1"/>
    <col min="4" max="4" width="12.5703125" bestFit="1" customWidth="1"/>
    <col min="5" max="5" width="16.28515625" bestFit="1" customWidth="1"/>
    <col min="6" max="6" width="11.85546875" bestFit="1" customWidth="1"/>
    <col min="14" max="14" width="14.7109375" customWidth="1"/>
    <col min="15" max="15" width="11.5703125" customWidth="1"/>
  </cols>
  <sheetData>
    <row r="1" spans="1:7" x14ac:dyDescent="0.25">
      <c r="A1" s="73" t="s">
        <v>112</v>
      </c>
    </row>
    <row r="3" spans="1:7" x14ac:dyDescent="0.25">
      <c r="A3" t="s">
        <v>35</v>
      </c>
      <c r="B3">
        <v>281162</v>
      </c>
      <c r="C3">
        <v>381162</v>
      </c>
      <c r="D3">
        <v>481162</v>
      </c>
      <c r="E3">
        <v>81162</v>
      </c>
      <c r="F3">
        <v>181162</v>
      </c>
    </row>
    <row r="4" spans="1:7" x14ac:dyDescent="0.25">
      <c r="B4">
        <v>282230</v>
      </c>
      <c r="C4">
        <v>382230</v>
      </c>
      <c r="D4">
        <v>482230</v>
      </c>
      <c r="E4">
        <v>82230</v>
      </c>
      <c r="F4">
        <v>182230</v>
      </c>
    </row>
    <row r="5" spans="1:7" x14ac:dyDescent="0.25">
      <c r="A5" s="66"/>
      <c r="G5" s="66"/>
    </row>
    <row r="6" spans="1:7" x14ac:dyDescent="0.25">
      <c r="A6" s="85"/>
      <c r="B6" s="86" t="s">
        <v>50</v>
      </c>
      <c r="C6" s="86" t="s">
        <v>51</v>
      </c>
      <c r="D6" s="86" t="s">
        <v>52</v>
      </c>
      <c r="E6" s="86" t="s">
        <v>53</v>
      </c>
      <c r="F6" s="86" t="s">
        <v>93</v>
      </c>
      <c r="G6" s="66"/>
    </row>
    <row r="7" spans="1:7" ht="15.75" x14ac:dyDescent="0.25">
      <c r="A7" s="87"/>
      <c r="B7" s="88" t="s">
        <v>94</v>
      </c>
      <c r="C7" s="88" t="s">
        <v>95</v>
      </c>
      <c r="D7" s="88" t="s">
        <v>96</v>
      </c>
      <c r="E7" s="88" t="s">
        <v>97</v>
      </c>
      <c r="F7" s="88" t="s">
        <v>97</v>
      </c>
      <c r="G7" s="66"/>
    </row>
    <row r="8" spans="1:7" x14ac:dyDescent="0.25">
      <c r="A8" s="89" t="s">
        <v>98</v>
      </c>
      <c r="B8" s="90"/>
      <c r="C8" s="90" t="s">
        <v>99</v>
      </c>
      <c r="D8" s="90" t="s">
        <v>100</v>
      </c>
      <c r="E8" s="90" t="s">
        <v>101</v>
      </c>
      <c r="F8" s="91" t="s">
        <v>111</v>
      </c>
      <c r="G8" s="66"/>
    </row>
    <row r="9" spans="1:7" ht="15.75" x14ac:dyDescent="0.25">
      <c r="A9" s="118" t="s">
        <v>69</v>
      </c>
      <c r="B9" s="118"/>
      <c r="C9" s="118"/>
      <c r="D9" s="118"/>
      <c r="E9" s="118"/>
      <c r="F9" s="118"/>
      <c r="G9" s="66"/>
    </row>
    <row r="10" spans="1:7" x14ac:dyDescent="0.25">
      <c r="A10" s="52" t="s">
        <v>103</v>
      </c>
      <c r="B10" s="53" t="e">
        <f>HLOOKUP(B3,output_collect!$C$4:$ZZ$59,13)*3</f>
        <v>#N/A</v>
      </c>
      <c r="C10" s="53" t="e">
        <f>HLOOKUP(C3,output_collect!$C$4:$ZZ$59,13)*3</f>
        <v>#N/A</v>
      </c>
      <c r="D10" s="53" t="e">
        <f>HLOOKUP(D3,output_collect!$C$4:$ZZ$59,13)*3</f>
        <v>#N/A</v>
      </c>
      <c r="E10" s="53" t="e">
        <f>HLOOKUP(E3,output_collect!$C$4:$ZZ$59,13)*3</f>
        <v>#N/A</v>
      </c>
      <c r="F10" s="53" t="e">
        <f>HLOOKUP(F3,output_collect!$C$4:$ZZ$59,13,FALSE)*3</f>
        <v>#N/A</v>
      </c>
      <c r="G10" s="66"/>
    </row>
    <row r="11" spans="1:7" x14ac:dyDescent="0.25">
      <c r="A11" s="52" t="s">
        <v>104</v>
      </c>
      <c r="B11" s="53" t="e">
        <f>HLOOKUP(B3,output_collect!$C$4:$ZZ$59,14)*3</f>
        <v>#N/A</v>
      </c>
      <c r="C11" s="53" t="e">
        <f>HLOOKUP(C3,output_collect!$C$4:$ZZ$59,14)*3</f>
        <v>#N/A</v>
      </c>
      <c r="D11" s="53" t="e">
        <f>HLOOKUP(D3,output_collect!$C$4:$ZZ$59,14)*3</f>
        <v>#N/A</v>
      </c>
      <c r="E11" s="53" t="e">
        <f>HLOOKUP(E3,output_collect!$C$4:$ZZ$59,14)*3</f>
        <v>#N/A</v>
      </c>
      <c r="F11" s="53" t="e">
        <f>HLOOKUP(F3,output_collect!$C$4:$ZZ$59,14,FALSE)*3</f>
        <v>#N/A</v>
      </c>
      <c r="G11" s="66"/>
    </row>
    <row r="12" spans="1:7" x14ac:dyDescent="0.25">
      <c r="A12" s="52" t="s">
        <v>105</v>
      </c>
      <c r="B12" s="53" t="e">
        <f>HLOOKUP(B4,output_collect!$C$4:$ZZ$59,13)*3</f>
        <v>#N/A</v>
      </c>
      <c r="C12" s="53" t="e">
        <f>HLOOKUP(C4,output_collect!$C$4:$ZZ$59,13)*3</f>
        <v>#N/A</v>
      </c>
      <c r="D12" s="53" t="e">
        <f>HLOOKUP(D4,output_collect!$C$4:$ZZ$59,13)*3</f>
        <v>#N/A</v>
      </c>
      <c r="E12" s="53" t="e">
        <f>HLOOKUP(E4,output_collect!$C$4:$ZZ$59,13)*3</f>
        <v>#N/A</v>
      </c>
      <c r="F12" s="53" t="e">
        <f>HLOOKUP(F4,output_collect!$C$4:$ZZ$59,13,FALSE)*3</f>
        <v>#N/A</v>
      </c>
      <c r="G12" s="66"/>
    </row>
    <row r="13" spans="1:7" x14ac:dyDescent="0.25">
      <c r="A13" s="52" t="s">
        <v>106</v>
      </c>
      <c r="B13" s="53" t="e">
        <f>HLOOKUP(B4,output_collect!$C$4:$ZZ$59,14)*3</f>
        <v>#N/A</v>
      </c>
      <c r="C13" s="53" t="e">
        <f>HLOOKUP(C4,output_collect!$C$4:$ZZ$59,14)*3</f>
        <v>#N/A</v>
      </c>
      <c r="D13" s="53" t="e">
        <f>HLOOKUP(D4,output_collect!$C$4:$ZZ$59,14)*3</f>
        <v>#N/A</v>
      </c>
      <c r="E13" s="53" t="e">
        <f>HLOOKUP(E4,output_collect!$C$4:$ZZ$59,14)*3</f>
        <v>#N/A</v>
      </c>
      <c r="F13" s="53" t="e">
        <f>HLOOKUP(F4,output_collect!$C$4:$ZZ$59,14,FALSE)*3</f>
        <v>#N/A</v>
      </c>
      <c r="G13" s="66"/>
    </row>
    <row r="14" spans="1:7" ht="15.75" x14ac:dyDescent="0.25">
      <c r="A14" s="118" t="s">
        <v>71</v>
      </c>
      <c r="B14" s="118"/>
      <c r="C14" s="118"/>
      <c r="D14" s="118"/>
      <c r="E14" s="118"/>
      <c r="F14" s="118"/>
      <c r="G14" s="66"/>
    </row>
    <row r="15" spans="1:7" x14ac:dyDescent="0.25">
      <c r="A15" s="52" t="s">
        <v>103</v>
      </c>
      <c r="B15" s="53" t="e">
        <f>HLOOKUP(B3,output_collect!$C$4:$ZZ$59,5)/3</f>
        <v>#N/A</v>
      </c>
      <c r="C15" s="53" t="e">
        <f>HLOOKUP(C3,output_collect!$C$4:$ZZ$59,5)/3</f>
        <v>#N/A</v>
      </c>
      <c r="D15" s="53" t="e">
        <f>HLOOKUP(D3,output_collect!$C$4:$ZZ$59,5)/3</f>
        <v>#N/A</v>
      </c>
      <c r="E15" s="53" t="e">
        <f>HLOOKUP(E3,output_collect!$C$4:$ZZ$59,5)/3</f>
        <v>#N/A</v>
      </c>
      <c r="F15" s="53" t="e">
        <f>HLOOKUP(F3,output_collect!$C$4:$ZZ$59,5,FALSE)/3</f>
        <v>#N/A</v>
      </c>
      <c r="G15" s="66"/>
    </row>
    <row r="16" spans="1:7" x14ac:dyDescent="0.25">
      <c r="A16" s="52" t="s">
        <v>104</v>
      </c>
      <c r="B16" s="53" t="e">
        <f>HLOOKUP(B3,output_collect!$C$4:$ZZ$59,6)/3</f>
        <v>#N/A</v>
      </c>
      <c r="C16" s="53" t="e">
        <f>HLOOKUP(C3,output_collect!$C$4:$ZZ$59,6)/3</f>
        <v>#N/A</v>
      </c>
      <c r="D16" s="53" t="e">
        <f>HLOOKUP(D3,output_collect!$C$4:$ZZ$59,6)/3</f>
        <v>#N/A</v>
      </c>
      <c r="E16" s="53" t="e">
        <f>HLOOKUP(E3,output_collect!$C$4:$ZZ$59,6)/3</f>
        <v>#N/A</v>
      </c>
      <c r="F16" s="53" t="e">
        <f>HLOOKUP(F3,output_collect!$C$4:$ZZ$59,6,FALSE)/3</f>
        <v>#N/A</v>
      </c>
      <c r="G16" s="66"/>
    </row>
    <row r="17" spans="1:7" x14ac:dyDescent="0.25">
      <c r="A17" s="52" t="s">
        <v>105</v>
      </c>
      <c r="B17" s="53" t="e">
        <f>HLOOKUP(B4,output_collect!$C$4:$ZZ$59,5)/3</f>
        <v>#N/A</v>
      </c>
      <c r="C17" s="53" t="e">
        <f>HLOOKUP(C4,output_collect!$C$4:$ZZ$59,5)/3</f>
        <v>#N/A</v>
      </c>
      <c r="D17" s="53" t="e">
        <f>HLOOKUP(D4,output_collect!$C$4:$ZZ$59,5)/3</f>
        <v>#N/A</v>
      </c>
      <c r="E17" s="53" t="e">
        <f>HLOOKUP(E4,output_collect!$C$4:$ZZ$59,5)/3</f>
        <v>#N/A</v>
      </c>
      <c r="F17" s="53" t="e">
        <f>HLOOKUP(F4,output_collect!$C$4:$ZZ$59,5,FALSE)/3</f>
        <v>#N/A</v>
      </c>
      <c r="G17" s="66"/>
    </row>
    <row r="18" spans="1:7" x14ac:dyDescent="0.25">
      <c r="A18" s="52" t="s">
        <v>106</v>
      </c>
      <c r="B18" s="53" t="e">
        <f>HLOOKUP(B4,output_collect!$C$4:$ZZ$59,6)/3</f>
        <v>#N/A</v>
      </c>
      <c r="C18" s="53" t="e">
        <f>HLOOKUP(C4,output_collect!$C$4:$ZZ$59,6)/3</f>
        <v>#N/A</v>
      </c>
      <c r="D18" s="53" t="e">
        <f>HLOOKUP(D4,output_collect!$C$4:$ZZ$59,6)/3</f>
        <v>#N/A</v>
      </c>
      <c r="E18" s="53" t="e">
        <f>HLOOKUP(E4,output_collect!$C$4:$ZZ$59,6)/3</f>
        <v>#N/A</v>
      </c>
      <c r="F18" s="53" t="e">
        <f>HLOOKUP(F4,output_collect!$C$4:$ZZ$59,6,FALSE)/3</f>
        <v>#N/A</v>
      </c>
      <c r="G18" s="66"/>
    </row>
    <row r="19" spans="1:7" ht="15.75" x14ac:dyDescent="0.25">
      <c r="A19" s="118" t="s">
        <v>72</v>
      </c>
      <c r="B19" s="118"/>
      <c r="C19" s="118"/>
      <c r="D19" s="118"/>
      <c r="E19" s="118"/>
      <c r="F19" s="118"/>
      <c r="G19" s="66"/>
    </row>
    <row r="20" spans="1:7" x14ac:dyDescent="0.25">
      <c r="A20" s="52" t="s">
        <v>103</v>
      </c>
      <c r="B20" s="53" t="e">
        <f>(1+HLOOKUP(B3,output_collect!$C$4:$ZZ$59,10))^(1/3)-1</f>
        <v>#N/A</v>
      </c>
      <c r="C20" s="53" t="e">
        <f>(1+HLOOKUP(C3,output_collect!$C$4:$ZZ$59,10))^(1/3)-1</f>
        <v>#N/A</v>
      </c>
      <c r="D20" s="53" t="e">
        <f>(1+HLOOKUP(D3,output_collect!$C$4:$ZZ$59,10))^(1/3)-1</f>
        <v>#N/A</v>
      </c>
      <c r="E20" s="53" t="e">
        <f>(1+HLOOKUP(E3,output_collect!$C$4:$ZZ$59,10))^(1/3)-1</f>
        <v>#N/A</v>
      </c>
      <c r="F20" s="53" t="e">
        <f>(1+HLOOKUP(F3,output_collect!$C$4:$ZZ$59,10,FALSE))^(1/3)-1</f>
        <v>#N/A</v>
      </c>
      <c r="G20" s="66"/>
    </row>
    <row r="21" spans="1:7" x14ac:dyDescent="0.25">
      <c r="A21" s="52" t="s">
        <v>104</v>
      </c>
      <c r="B21" s="53" t="e">
        <f>(1+HLOOKUP(B3,output_collect!$C$4:$ZZ$59,11))^(1/3)-1</f>
        <v>#N/A</v>
      </c>
      <c r="C21" s="53" t="e">
        <f>(1+HLOOKUP(C3,output_collect!$C$4:$ZZ$59,11))^(1/3)-1</f>
        <v>#N/A</v>
      </c>
      <c r="D21" s="53" t="e">
        <f>(1+HLOOKUP(D3,output_collect!$C$4:$ZZ$59,11))^(1/3)-1</f>
        <v>#N/A</v>
      </c>
      <c r="E21" s="53" t="e">
        <f>(1+HLOOKUP(E3,output_collect!$C$4:$ZZ$59,11))^(1/3)-1</f>
        <v>#N/A</v>
      </c>
      <c r="F21" s="53" t="e">
        <f>(1+HLOOKUP(F3,output_collect!$C$4:$ZZ$59,11,FALSE))^(1/3)-1</f>
        <v>#N/A</v>
      </c>
      <c r="G21" s="66"/>
    </row>
    <row r="22" spans="1:7" x14ac:dyDescent="0.25">
      <c r="A22" s="52" t="s">
        <v>105</v>
      </c>
      <c r="B22" s="53" t="e">
        <f>(1+HLOOKUP(B4,output_collect!$C$4:$ZZ$59,10))^(1/3)-1</f>
        <v>#N/A</v>
      </c>
      <c r="C22" s="53" t="e">
        <f>(1+HLOOKUP(C4,output_collect!$C$4:$ZZ$59,10))^(1/3)-1</f>
        <v>#N/A</v>
      </c>
      <c r="D22" s="53" t="e">
        <f>(1+HLOOKUP(D4,output_collect!$C$4:$ZZ$59,10))^(1/3)-1</f>
        <v>#N/A</v>
      </c>
      <c r="E22" s="53" t="e">
        <f>(1+HLOOKUP(E4,output_collect!$C$4:$ZZ$59,10))^(1/3)-1</f>
        <v>#N/A</v>
      </c>
      <c r="F22" s="53" t="e">
        <f>(1+HLOOKUP(F4,output_collect!$C$4:$ZZ$59,10,FALSE))^(1/3)-1</f>
        <v>#N/A</v>
      </c>
      <c r="G22" s="66"/>
    </row>
    <row r="23" spans="1:7" x14ac:dyDescent="0.25">
      <c r="A23" s="52" t="s">
        <v>106</v>
      </c>
      <c r="B23" s="53" t="e">
        <f>(1+HLOOKUP(B4,output_collect!$C$4:$ZZ$59,11))^(1/3)-1</f>
        <v>#N/A</v>
      </c>
      <c r="C23" s="53" t="e">
        <f>(1+HLOOKUP(C4,output_collect!$C$4:$ZZ$59,11))^(1/3)-1</f>
        <v>#N/A</v>
      </c>
      <c r="D23" s="53" t="e">
        <f>(1+HLOOKUP(D4,output_collect!$C$4:$ZZ$59,11))^(1/3)-1</f>
        <v>#N/A</v>
      </c>
      <c r="E23" s="53" t="e">
        <f>(1+HLOOKUP(E4,output_collect!$C$4:$ZZ$59,11))^(1/3)-1</f>
        <v>#N/A</v>
      </c>
      <c r="F23" s="53" t="e">
        <f>(1+HLOOKUP(F4,output_collect!$C$4:$ZZ$59,11,FALSE))^(1/3)-1</f>
        <v>#N/A</v>
      </c>
      <c r="G23" s="66"/>
    </row>
    <row r="24" spans="1:7" ht="15.75" x14ac:dyDescent="0.25">
      <c r="A24" s="118" t="s">
        <v>73</v>
      </c>
      <c r="B24" s="118"/>
      <c r="C24" s="118"/>
      <c r="D24" s="118"/>
      <c r="E24" s="118"/>
      <c r="F24" s="118"/>
      <c r="G24" s="66"/>
    </row>
    <row r="25" spans="1:7" x14ac:dyDescent="0.25">
      <c r="A25" s="52" t="s">
        <v>103</v>
      </c>
      <c r="B25" s="56"/>
      <c r="C25" s="53" t="e">
        <f>HLOOKUP($B$3,output_collect!$C$4:$ZZ$59,54)/HLOOKUP(C3,output_collect!$C$4:$ZZ$59,54) - 1</f>
        <v>#N/A</v>
      </c>
      <c r="D25" s="53" t="e">
        <f>HLOOKUP($B$3,output_collect!$C$4:$ZZ$59,54)/HLOOKUP(D3,output_collect!$C$4:$ZZ$59,54) - 1</f>
        <v>#N/A</v>
      </c>
      <c r="E25" s="53" t="e">
        <f>HLOOKUP($B$3,output_collect!$C$4:$ZZ$59,54)/HLOOKUP(E3,output_collect!$C$4:$ZZ$59,54) - 1</f>
        <v>#N/A</v>
      </c>
      <c r="F25" s="53" t="e">
        <f>HLOOKUP($B$3,output_collect!$C$4:$ZZ$59,54,FALSE)/HLOOKUP(F3,output_collect!$C$4:$ZZ$59,54,FALSE) - 1</f>
        <v>#N/A</v>
      </c>
      <c r="G25" s="66"/>
    </row>
    <row r="26" spans="1:7" x14ac:dyDescent="0.25">
      <c r="A26" s="52" t="s">
        <v>104</v>
      </c>
      <c r="B26" s="56"/>
      <c r="C26" s="53" t="e">
        <f>HLOOKUP($B$3,output_collect!$C$4:$ZZ$59,55)/HLOOKUP(C3,output_collect!$C$4:$ZZ$59,55) - 1</f>
        <v>#N/A</v>
      </c>
      <c r="D26" s="53" t="e">
        <f>HLOOKUP($B$3,output_collect!$C$4:$ZZ$59,55)/HLOOKUP(D3,output_collect!$C$4:$ZZ$59,55) - 1</f>
        <v>#N/A</v>
      </c>
      <c r="E26" s="53" t="e">
        <f>HLOOKUP($B$3,output_collect!$C$4:$ZZ$59,55)/HLOOKUP(E3,output_collect!$C$4:$ZZ$59,55) - 1</f>
        <v>#N/A</v>
      </c>
      <c r="F26" s="53" t="e">
        <f>HLOOKUP($B$3,output_collect!$C$4:$ZZ$59,55,FALSE)/HLOOKUP(F3,output_collect!$C$4:$ZZ$59,55,FALSE) - 1</f>
        <v>#N/A</v>
      </c>
      <c r="G26" s="66"/>
    </row>
    <row r="27" spans="1:7" x14ac:dyDescent="0.25">
      <c r="A27" s="52" t="s">
        <v>105</v>
      </c>
      <c r="B27" s="56"/>
      <c r="C27" s="53" t="e">
        <f>HLOOKUP($B$4,output_collect!$C$4:$ZZ$59,54)/HLOOKUP(C4,output_collect!$C$4:$ZZ$59,54) - 1</f>
        <v>#N/A</v>
      </c>
      <c r="D27" s="53" t="e">
        <f>HLOOKUP($B$4,output_collect!$C$4:$ZZ$59,54)/HLOOKUP(D4,output_collect!$C$4:$ZZ$59,54) - 1</f>
        <v>#N/A</v>
      </c>
      <c r="E27" s="53" t="e">
        <f>HLOOKUP($B$4,output_collect!$C$4:$ZZ$59,54)/HLOOKUP(E4,output_collect!$C$4:$ZZ$59,54) - 1</f>
        <v>#N/A</v>
      </c>
      <c r="F27" s="53" t="e">
        <f>HLOOKUP($B$4,output_collect!$C$4:$ZZ$59,54,FALSE)/HLOOKUP(F4,output_collect!$C$4:$ZZ$59,54,FALSE) - 1</f>
        <v>#N/A</v>
      </c>
      <c r="G27" s="66"/>
    </row>
    <row r="28" spans="1:7" x14ac:dyDescent="0.25">
      <c r="A28" s="52" t="s">
        <v>106</v>
      </c>
      <c r="B28" s="55"/>
      <c r="C28" s="53" t="e">
        <f>HLOOKUP($B$4,output_collect!$C$4:$ZZ$59,55)/HLOOKUP(C4,output_collect!$C$4:$ZZ$59,55) - 1</f>
        <v>#N/A</v>
      </c>
      <c r="D28" s="53" t="e">
        <f>HLOOKUP($B$4,output_collect!$C$4:$ZZ$59,55)/HLOOKUP(D4,output_collect!$C$4:$ZZ$59,55) - 1</f>
        <v>#N/A</v>
      </c>
      <c r="E28" s="53" t="e">
        <f>HLOOKUP($B$4,output_collect!$C$4:$ZZ$59,55)/HLOOKUP(E4,output_collect!$C$4:$ZZ$59,55) - 1</f>
        <v>#N/A</v>
      </c>
      <c r="F28" s="53" t="e">
        <f>HLOOKUP($B$4,output_collect!$C$4:$ZZ$59,55,FALSE)/HLOOKUP(F4,output_collect!$C$4:$ZZ$59,55,FALSE) - 1</f>
        <v>#N/A</v>
      </c>
      <c r="G28" s="66"/>
    </row>
    <row r="29" spans="1:7" ht="15.75" x14ac:dyDescent="0.25">
      <c r="A29" s="118" t="s">
        <v>102</v>
      </c>
      <c r="B29" s="118"/>
      <c r="C29" s="118"/>
      <c r="D29" s="118"/>
      <c r="E29" s="118"/>
      <c r="F29" s="118"/>
      <c r="G29" s="66"/>
    </row>
    <row r="30" spans="1:7" x14ac:dyDescent="0.25">
      <c r="A30" s="83" t="s">
        <v>107</v>
      </c>
      <c r="B30" s="53" t="e">
        <f>HLOOKUP(B3,output_collect!$C$4:$ZZ$59,8)/3</f>
        <v>#N/A</v>
      </c>
      <c r="C30" s="53" t="e">
        <f>HLOOKUP(C3,output_collect!$C$4:$ZZ$59,8)/3</f>
        <v>#N/A</v>
      </c>
      <c r="D30" s="53" t="e">
        <f>HLOOKUP(D3,output_collect!$C$4:$ZZ$59,8)/3</f>
        <v>#N/A</v>
      </c>
      <c r="E30" s="53" t="e">
        <f>HLOOKUP(E3,output_collect!$C$4:$ZZ$59,8)/3</f>
        <v>#N/A</v>
      </c>
      <c r="F30" s="53" t="e">
        <f>HLOOKUP(F3,output_collect!$C$4:$ZZ$59,8,FALSE)/3</f>
        <v>#N/A</v>
      </c>
      <c r="G30" s="66"/>
    </row>
    <row r="31" spans="1:7" x14ac:dyDescent="0.25">
      <c r="A31" s="83" t="s">
        <v>109</v>
      </c>
      <c r="B31" s="53" t="e">
        <f>HLOOKUP(B4,output_collect!$C$4:$ZZ$59,8)/3</f>
        <v>#N/A</v>
      </c>
      <c r="C31" s="53" t="e">
        <f>HLOOKUP(C4,output_collect!$C$4:$ZZ$59,8)/3</f>
        <v>#N/A</v>
      </c>
      <c r="D31" s="53" t="e">
        <f>HLOOKUP(D4,output_collect!$C$4:$ZZ$59,8)/3</f>
        <v>#N/A</v>
      </c>
      <c r="E31" s="53" t="e">
        <f>HLOOKUP(E4,output_collect!$C$4:$ZZ$59,8)/3</f>
        <v>#N/A</v>
      </c>
      <c r="F31" s="53" t="e">
        <f>HLOOKUP(F4,output_collect!$C$4:$ZZ$59,8,FALSE)/3</f>
        <v>#N/A</v>
      </c>
      <c r="G31" s="66"/>
    </row>
    <row r="32" spans="1:7" x14ac:dyDescent="0.25">
      <c r="A32" s="52" t="s">
        <v>108</v>
      </c>
      <c r="B32" s="70" t="e">
        <f>(HLOOKUP(B3,output_collect!$C$4:$ZZ$59,50)+HLOOKUP(B3,output_collect!$C$4:$ZZ$59,51))/HLOOKUP(B3,output_collect!$C$4:$ZZ$59,27)</f>
        <v>#N/A</v>
      </c>
      <c r="C32" s="70" t="e">
        <f>(HLOOKUP(C3,output_collect!$C$4:$ZZ$59,50)+HLOOKUP(C3,output_collect!$C$4:$ZZ$59,51))/HLOOKUP(C3,output_collect!$C$4:$ZZ$59,27)</f>
        <v>#N/A</v>
      </c>
      <c r="D32" s="70" t="e">
        <f>(HLOOKUP(D3,output_collect!$C$4:$ZZ$59,50)+HLOOKUP(D3,output_collect!$C$4:$ZZ$59,51))/HLOOKUP(D3,output_collect!$C$4:$ZZ$59,27)</f>
        <v>#N/A</v>
      </c>
      <c r="E32" s="70" t="e">
        <f>(HLOOKUP(E3,output_collect!$C$4:$ZZ$59,50)+HLOOKUP(E3,output_collect!$C$4:$ZZ$59,51))/HLOOKUP(E3,output_collect!$C$4:$ZZ$59,27)</f>
        <v>#N/A</v>
      </c>
      <c r="F32" s="70" t="e">
        <f>(HLOOKUP(F3,output_collect!$C$4:$ZZ$59,50,FALSE)+HLOOKUP(F3,output_collect!$C$4:$ZZ$59,51,FALSE))/HLOOKUP(F3,output_collect!$C$4:$ZZ$59,27,FALSE)</f>
        <v>#N/A</v>
      </c>
      <c r="G32" s="66"/>
    </row>
    <row r="33" spans="1:7" x14ac:dyDescent="0.25">
      <c r="A33" s="54" t="s">
        <v>110</v>
      </c>
      <c r="B33" s="55" t="e">
        <f>(HLOOKUP(B4,output_collect!$C$4:$ZZ$59,50)+HLOOKUP(B4,output_collect!$C$4:$ZZ$59,51))/HLOOKUP(B4,output_collect!$C$4:$ZZ$59,27)</f>
        <v>#N/A</v>
      </c>
      <c r="C33" s="55" t="e">
        <f>(HLOOKUP(C4,output_collect!$C$4:$ZZ$59,50)+HLOOKUP(C4,output_collect!$C$4:$ZZ$59,51))/HLOOKUP(C4,output_collect!$C$4:$ZZ$59,27)</f>
        <v>#N/A</v>
      </c>
      <c r="D33" s="55" t="e">
        <f>(HLOOKUP(D4,output_collect!$C$4:$ZZ$59,50)+HLOOKUP(D4,output_collect!$C$4:$ZZ$59,51))/HLOOKUP(D4,output_collect!$C$4:$ZZ$59,27)</f>
        <v>#N/A</v>
      </c>
      <c r="E33" s="55" t="e">
        <f>(HLOOKUP(E4,output_collect!$C$4:$ZZ$59,50)+HLOOKUP(E4,output_collect!$C$4:$ZZ$59,51))/HLOOKUP(E4,output_collect!$C$4:$ZZ$59,27)</f>
        <v>#N/A</v>
      </c>
      <c r="F33" s="55" t="e">
        <f>(HLOOKUP(F4,output_collect!$C$4:$ZZ$59,50,FALSE)+HLOOKUP(F4,output_collect!$C$4:$ZZ$59,51,FALSE))/HLOOKUP(F4,output_collect!$C$4:$ZZ$59,27,FALSE)</f>
        <v>#N/A</v>
      </c>
      <c r="G33" s="66"/>
    </row>
    <row r="34" spans="1:7" x14ac:dyDescent="0.25">
      <c r="A34" s="66"/>
      <c r="B34" s="66"/>
      <c r="C34" s="66"/>
      <c r="D34" s="66"/>
      <c r="E34" s="66"/>
      <c r="F34" s="66"/>
      <c r="G34" s="66"/>
    </row>
    <row r="35" spans="1:7" x14ac:dyDescent="0.25">
      <c r="A35" s="66"/>
      <c r="B35" s="66"/>
      <c r="C35" s="66"/>
      <c r="D35" s="66"/>
      <c r="E35" s="66"/>
      <c r="F35" s="66"/>
      <c r="G35" s="66"/>
    </row>
    <row r="36" spans="1:7" x14ac:dyDescent="0.25">
      <c r="A36" s="66"/>
      <c r="B36" s="66"/>
      <c r="C36" s="66"/>
      <c r="D36" s="66"/>
      <c r="E36" s="66"/>
      <c r="F36" s="66"/>
      <c r="G36" s="66"/>
    </row>
    <row r="39" spans="1:7" x14ac:dyDescent="0.25">
      <c r="A39" s="73" t="s">
        <v>113</v>
      </c>
    </row>
    <row r="41" spans="1:7" x14ac:dyDescent="0.25">
      <c r="A41" t="s">
        <v>35</v>
      </c>
      <c r="B41">
        <v>271120</v>
      </c>
      <c r="C41">
        <v>371120</v>
      </c>
      <c r="D41">
        <v>471120</v>
      </c>
      <c r="E41">
        <v>71120</v>
      </c>
      <c r="F41">
        <v>171120</v>
      </c>
    </row>
    <row r="42" spans="1:7" x14ac:dyDescent="0.25">
      <c r="B42">
        <v>272220</v>
      </c>
      <c r="C42">
        <v>372220</v>
      </c>
      <c r="D42">
        <v>472220</v>
      </c>
      <c r="E42">
        <v>72220</v>
      </c>
      <c r="F42">
        <v>172220</v>
      </c>
    </row>
    <row r="43" spans="1:7" x14ac:dyDescent="0.25">
      <c r="A43" s="66"/>
    </row>
    <row r="44" spans="1:7" x14ac:dyDescent="0.25">
      <c r="A44" s="85"/>
      <c r="B44" s="86" t="s">
        <v>50</v>
      </c>
      <c r="C44" s="86" t="s">
        <v>51</v>
      </c>
      <c r="D44" s="86" t="s">
        <v>52</v>
      </c>
      <c r="E44" s="86" t="s">
        <v>53</v>
      </c>
      <c r="F44" s="86" t="s">
        <v>93</v>
      </c>
    </row>
    <row r="45" spans="1:7" ht="15.75" x14ac:dyDescent="0.25">
      <c r="A45" s="87"/>
      <c r="B45" s="88" t="s">
        <v>94</v>
      </c>
      <c r="C45" s="88" t="s">
        <v>95</v>
      </c>
      <c r="D45" s="88" t="s">
        <v>96</v>
      </c>
      <c r="E45" s="88" t="s">
        <v>97</v>
      </c>
      <c r="F45" s="88" t="s">
        <v>97</v>
      </c>
    </row>
    <row r="46" spans="1:7" x14ac:dyDescent="0.25">
      <c r="A46" s="89" t="s">
        <v>98</v>
      </c>
      <c r="B46" s="90"/>
      <c r="C46" s="90" t="s">
        <v>99</v>
      </c>
      <c r="D46" s="90" t="s">
        <v>100</v>
      </c>
      <c r="E46" s="90" t="s">
        <v>101</v>
      </c>
      <c r="F46" s="91" t="s">
        <v>111</v>
      </c>
    </row>
    <row r="47" spans="1:7" ht="15.75" x14ac:dyDescent="0.25">
      <c r="A47" s="118" t="s">
        <v>69</v>
      </c>
      <c r="B47" s="118"/>
      <c r="C47" s="118"/>
      <c r="D47" s="118"/>
      <c r="E47" s="118"/>
      <c r="F47" s="118"/>
    </row>
    <row r="48" spans="1:7" x14ac:dyDescent="0.25">
      <c r="A48" s="52" t="s">
        <v>103</v>
      </c>
      <c r="B48" s="53" t="e">
        <f>HLOOKUP(B41,output_collect!$C$4:$ZZ$59,13)*3</f>
        <v>#N/A</v>
      </c>
      <c r="C48" s="53" t="e">
        <f>HLOOKUP(C41,output_collect!$C$4:$ZZ$59,13)*3</f>
        <v>#N/A</v>
      </c>
      <c r="D48" s="53" t="e">
        <f>HLOOKUP(D41,output_collect!$C$4:$ZZ$59,13)*3</f>
        <v>#N/A</v>
      </c>
      <c r="E48" s="53" t="e">
        <f>HLOOKUP(E41,output_collect!$C$4:$ZZ$59,13)*3</f>
        <v>#N/A</v>
      </c>
      <c r="F48" s="53" t="e">
        <f>HLOOKUP(F41,output_collect!$C$4:$ZZ$59,13,FALSE)*3</f>
        <v>#N/A</v>
      </c>
    </row>
    <row r="49" spans="1:6" x14ac:dyDescent="0.25">
      <c r="A49" s="52" t="s">
        <v>104</v>
      </c>
      <c r="B49" s="53" t="e">
        <f>HLOOKUP(B41,output_collect!$C$4:$ZZ$59,14)*3</f>
        <v>#N/A</v>
      </c>
      <c r="C49" s="53" t="e">
        <f>HLOOKUP(C41,output_collect!$C$4:$ZZ$59,14)*3</f>
        <v>#N/A</v>
      </c>
      <c r="D49" s="53" t="e">
        <f>HLOOKUP(D41,output_collect!$C$4:$ZZ$59,14)*3</f>
        <v>#N/A</v>
      </c>
      <c r="E49" s="53" t="e">
        <f>HLOOKUP(E41,output_collect!$C$4:$ZZ$59,14)*3</f>
        <v>#N/A</v>
      </c>
      <c r="F49" s="53" t="e">
        <f>HLOOKUP(F41,output_collect!$C$4:$ZZ$59,14,FALSE)*3</f>
        <v>#N/A</v>
      </c>
    </row>
    <row r="50" spans="1:6" x14ac:dyDescent="0.25">
      <c r="A50" s="52" t="s">
        <v>105</v>
      </c>
      <c r="B50" s="53" t="e">
        <f>HLOOKUP(B42,output_collect!$C$4:$ZZ$59,13)*3</f>
        <v>#N/A</v>
      </c>
      <c r="C50" s="53" t="e">
        <f>HLOOKUP(C42,output_collect!$C$4:$ZZ$59,13)*3</f>
        <v>#N/A</v>
      </c>
      <c r="D50" s="53" t="e">
        <f>HLOOKUP(D42,output_collect!$C$4:$ZZ$59,13)*3</f>
        <v>#N/A</v>
      </c>
      <c r="E50" s="53" t="e">
        <f>HLOOKUP(E42,output_collect!$C$4:$ZZ$59,13)*3</f>
        <v>#N/A</v>
      </c>
      <c r="F50" s="53" t="e">
        <f>HLOOKUP(F42,output_collect!$C$4:$ZZ$59,13,FALSE)*3</f>
        <v>#N/A</v>
      </c>
    </row>
    <row r="51" spans="1:6" x14ac:dyDescent="0.25">
      <c r="A51" s="52" t="s">
        <v>106</v>
      </c>
      <c r="B51" s="53" t="e">
        <f>HLOOKUP(B42,output_collect!$C$4:$ZZ$59,14)*3</f>
        <v>#N/A</v>
      </c>
      <c r="C51" s="53" t="e">
        <f>HLOOKUP(C42,output_collect!$C$4:$ZZ$59,14)*3</f>
        <v>#N/A</v>
      </c>
      <c r="D51" s="53" t="e">
        <f>HLOOKUP(D42,output_collect!$C$4:$ZZ$59,14)*3</f>
        <v>#N/A</v>
      </c>
      <c r="E51" s="53" t="e">
        <f>HLOOKUP(E42,output_collect!$C$4:$ZZ$59,14)*3</f>
        <v>#N/A</v>
      </c>
      <c r="F51" s="53" t="e">
        <f>HLOOKUP(F42,output_collect!$C$4:$ZZ$59,14,FALSE)*3</f>
        <v>#N/A</v>
      </c>
    </row>
    <row r="52" spans="1:6" ht="15.75" x14ac:dyDescent="0.25">
      <c r="A52" s="118" t="s">
        <v>71</v>
      </c>
      <c r="B52" s="118"/>
      <c r="C52" s="118"/>
      <c r="D52" s="118"/>
      <c r="E52" s="118"/>
      <c r="F52" s="118"/>
    </row>
    <row r="53" spans="1:6" x14ac:dyDescent="0.25">
      <c r="A53" s="52" t="s">
        <v>103</v>
      </c>
      <c r="B53" s="53" t="e">
        <f>HLOOKUP(B41,output_collect!$C$4:$ZZ$59,5)/3</f>
        <v>#N/A</v>
      </c>
      <c r="C53" s="53" t="e">
        <f>HLOOKUP(C41,output_collect!$C$4:$ZZ$59,5)/3</f>
        <v>#N/A</v>
      </c>
      <c r="D53" s="53" t="e">
        <f>HLOOKUP(D41,output_collect!$C$4:$ZZ$59,5)/3</f>
        <v>#N/A</v>
      </c>
      <c r="E53" s="53" t="e">
        <f>HLOOKUP(E41,output_collect!$C$4:$ZZ$59,5)/3</f>
        <v>#N/A</v>
      </c>
      <c r="F53" s="53" t="e">
        <f>HLOOKUP(F41,output_collect!$C$4:$ZZ$59,5,FALSE)/3</f>
        <v>#N/A</v>
      </c>
    </row>
    <row r="54" spans="1:6" x14ac:dyDescent="0.25">
      <c r="A54" s="52" t="s">
        <v>104</v>
      </c>
      <c r="B54" s="53" t="e">
        <f>HLOOKUP(B41,output_collect!$C$4:$ZZ$59,6)/3</f>
        <v>#N/A</v>
      </c>
      <c r="C54" s="53" t="e">
        <f>HLOOKUP(C41,output_collect!$C$4:$ZZ$59,6)/3</f>
        <v>#N/A</v>
      </c>
      <c r="D54" s="53" t="e">
        <f>HLOOKUP(D41,output_collect!$C$4:$ZZ$59,6)/3</f>
        <v>#N/A</v>
      </c>
      <c r="E54" s="53" t="e">
        <f>HLOOKUP(E41,output_collect!$C$4:$ZZ$59,6)/3</f>
        <v>#N/A</v>
      </c>
      <c r="F54" s="53" t="e">
        <f>HLOOKUP(F41,output_collect!$C$4:$ZZ$59,6,FALSE)/3</f>
        <v>#N/A</v>
      </c>
    </row>
    <row r="55" spans="1:6" x14ac:dyDescent="0.25">
      <c r="A55" s="52" t="s">
        <v>105</v>
      </c>
      <c r="B55" s="53" t="e">
        <f>HLOOKUP(B42,output_collect!$C$4:$ZZ$59,5)/3</f>
        <v>#N/A</v>
      </c>
      <c r="C55" s="53" t="e">
        <f>HLOOKUP(C42,output_collect!$C$4:$ZZ$59,5)/3</f>
        <v>#N/A</v>
      </c>
      <c r="D55" s="53" t="e">
        <f>HLOOKUP(D42,output_collect!$C$4:$ZZ$59,5)/3</f>
        <v>#N/A</v>
      </c>
      <c r="E55" s="53" t="e">
        <f>HLOOKUP(E42,output_collect!$C$4:$ZZ$59,5)/3</f>
        <v>#N/A</v>
      </c>
      <c r="F55" s="53" t="e">
        <f>HLOOKUP(F42,output_collect!$C$4:$ZZ$59,5,FALSE)/3</f>
        <v>#N/A</v>
      </c>
    </row>
    <row r="56" spans="1:6" x14ac:dyDescent="0.25">
      <c r="A56" s="52" t="s">
        <v>106</v>
      </c>
      <c r="B56" s="53" t="e">
        <f>HLOOKUP(B42,output_collect!$C$4:$ZZ$59,6)/3</f>
        <v>#N/A</v>
      </c>
      <c r="C56" s="53" t="e">
        <f>HLOOKUP(C42,output_collect!$C$4:$ZZ$59,6)/3</f>
        <v>#N/A</v>
      </c>
      <c r="D56" s="53" t="e">
        <f>HLOOKUP(D42,output_collect!$C$4:$ZZ$59,6)/3</f>
        <v>#N/A</v>
      </c>
      <c r="E56" s="53" t="e">
        <f>HLOOKUP(E42,output_collect!$C$4:$ZZ$59,6)/3</f>
        <v>#N/A</v>
      </c>
      <c r="F56" s="53" t="e">
        <f>HLOOKUP(F42,output_collect!$C$4:$ZZ$59,6,FALSE)/3</f>
        <v>#N/A</v>
      </c>
    </row>
    <row r="57" spans="1:6" ht="15.75" x14ac:dyDescent="0.25">
      <c r="A57" s="118" t="s">
        <v>72</v>
      </c>
      <c r="B57" s="118"/>
      <c r="C57" s="118"/>
      <c r="D57" s="118"/>
      <c r="E57" s="118"/>
      <c r="F57" s="118"/>
    </row>
    <row r="58" spans="1:6" x14ac:dyDescent="0.25">
      <c r="A58" s="52" t="s">
        <v>103</v>
      </c>
      <c r="B58" s="53" t="e">
        <f>(1+HLOOKUP(B41,output_collect!$C$4:$ZZ$59,10))^(1/3)-1</f>
        <v>#N/A</v>
      </c>
      <c r="C58" s="53" t="e">
        <f>(1+HLOOKUP(C41,output_collect!$C$4:$ZZ$59,10))^(1/3)-1</f>
        <v>#N/A</v>
      </c>
      <c r="D58" s="53" t="e">
        <f>(1+HLOOKUP(D41,output_collect!$C$4:$ZZ$59,10))^(1/3)-1</f>
        <v>#N/A</v>
      </c>
      <c r="E58" s="53" t="e">
        <f>(1+HLOOKUP(E41,output_collect!$C$4:$ZZ$59,10))^(1/3)-1</f>
        <v>#N/A</v>
      </c>
      <c r="F58" s="53" t="e">
        <f>(1+HLOOKUP(F41,output_collect!$C$4:$ZZ$59,10,FALSE))^(1/3)-1</f>
        <v>#N/A</v>
      </c>
    </row>
    <row r="59" spans="1:6" x14ac:dyDescent="0.25">
      <c r="A59" s="52" t="s">
        <v>104</v>
      </c>
      <c r="B59" s="53" t="e">
        <f>(1+HLOOKUP(B41,output_collect!$C$4:$ZZ$59,11))^(1/3)-1</f>
        <v>#N/A</v>
      </c>
      <c r="C59" s="53" t="e">
        <f>(1+HLOOKUP(C41,output_collect!$C$4:$ZZ$59,11))^(1/3)-1</f>
        <v>#N/A</v>
      </c>
      <c r="D59" s="53" t="e">
        <f>(1+HLOOKUP(D41,output_collect!$C$4:$ZZ$59,11))^(1/3)-1</f>
        <v>#N/A</v>
      </c>
      <c r="E59" s="53" t="e">
        <f>(1+HLOOKUP(E41,output_collect!$C$4:$ZZ$59,11))^(1/3)-1</f>
        <v>#N/A</v>
      </c>
      <c r="F59" s="53" t="e">
        <f>(1+HLOOKUP(F41,output_collect!$C$4:$ZZ$59,11,FALSE))^(1/3)-1</f>
        <v>#N/A</v>
      </c>
    </row>
    <row r="60" spans="1:6" x14ac:dyDescent="0.25">
      <c r="A60" s="52" t="s">
        <v>105</v>
      </c>
      <c r="B60" s="53" t="e">
        <f>(1+HLOOKUP(B42,output_collect!$C$4:$ZZ$59,10))^(1/3)-1</f>
        <v>#N/A</v>
      </c>
      <c r="C60" s="53" t="e">
        <f>(1+HLOOKUP(C42,output_collect!$C$4:$ZZ$59,10))^(1/3)-1</f>
        <v>#N/A</v>
      </c>
      <c r="D60" s="53" t="e">
        <f>(1+HLOOKUP(D42,output_collect!$C$4:$ZZ$59,10))^(1/3)-1</f>
        <v>#N/A</v>
      </c>
      <c r="E60" s="53" t="e">
        <f>(1+HLOOKUP(E42,output_collect!$C$4:$ZZ$59,10))^(1/3)-1</f>
        <v>#N/A</v>
      </c>
      <c r="F60" s="53" t="e">
        <f>(1+HLOOKUP(F42,output_collect!$C$4:$ZZ$59,10,FALSE))^(1/3)-1</f>
        <v>#N/A</v>
      </c>
    </row>
    <row r="61" spans="1:6" x14ac:dyDescent="0.25">
      <c r="A61" s="52" t="s">
        <v>106</v>
      </c>
      <c r="B61" s="53" t="e">
        <f>(1+HLOOKUP(B42,output_collect!$C$4:$ZZ$59,11))^(1/3)-1</f>
        <v>#N/A</v>
      </c>
      <c r="C61" s="53" t="e">
        <f>(1+HLOOKUP(C42,output_collect!$C$4:$ZZ$59,11))^(1/3)-1</f>
        <v>#N/A</v>
      </c>
      <c r="D61" s="53" t="e">
        <f>(1+HLOOKUP(D42,output_collect!$C$4:$ZZ$59,11))^(1/3)-1</f>
        <v>#N/A</v>
      </c>
      <c r="E61" s="53" t="e">
        <f>(1+HLOOKUP(E42,output_collect!$C$4:$ZZ$59,11))^(1/3)-1</f>
        <v>#N/A</v>
      </c>
      <c r="F61" s="53" t="e">
        <f>(1+HLOOKUP(F42,output_collect!$C$4:$ZZ$59,11,FALSE))^(1/3)-1</f>
        <v>#N/A</v>
      </c>
    </row>
    <row r="62" spans="1:6" ht="15.75" x14ac:dyDescent="0.25">
      <c r="A62" s="118" t="s">
        <v>73</v>
      </c>
      <c r="B62" s="118"/>
      <c r="C62" s="118"/>
      <c r="D62" s="118"/>
      <c r="E62" s="118"/>
      <c r="F62" s="118"/>
    </row>
    <row r="63" spans="1:6" x14ac:dyDescent="0.25">
      <c r="A63" s="52" t="s">
        <v>103</v>
      </c>
      <c r="B63" s="56"/>
      <c r="C63" s="53" t="e">
        <f>HLOOKUP($B$41,output_collect!$C$4:$ZZ$59,54)/HLOOKUP(C41,output_collect!$C$4:$ZZ$59,54) - 1</f>
        <v>#N/A</v>
      </c>
      <c r="D63" s="53" t="e">
        <f>HLOOKUP($B$41,output_collect!$C$4:$ZZ$59,54)/HLOOKUP(D41,output_collect!$C$4:$ZZ$59,54) - 1</f>
        <v>#N/A</v>
      </c>
      <c r="E63" s="53" t="e">
        <f>HLOOKUP($B$41,output_collect!$C$4:$ZZ$59,54)/HLOOKUP(E41,output_collect!$C$4:$ZZ$59,54) - 1</f>
        <v>#N/A</v>
      </c>
      <c r="F63" s="53" t="e">
        <f>HLOOKUP($B$41,output_collect!$C$4:$ZZ$59,54)/HLOOKUP(F41,output_collect!$C$4:$ZZ$59,54) - 1</f>
        <v>#N/A</v>
      </c>
    </row>
    <row r="64" spans="1:6" x14ac:dyDescent="0.25">
      <c r="A64" s="52" t="s">
        <v>104</v>
      </c>
      <c r="B64" s="56"/>
      <c r="C64" s="53" t="e">
        <f>HLOOKUP($B$41,output_collect!$C$4:$ZZ$59,55)/HLOOKUP(C41,output_collect!$C$4:$ZZ$59,55) - 1</f>
        <v>#N/A</v>
      </c>
      <c r="D64" s="53" t="e">
        <f>HLOOKUP($B$41,output_collect!$C$4:$ZZ$59,55)/HLOOKUP(D41,output_collect!$C$4:$ZZ$59,55) - 1</f>
        <v>#N/A</v>
      </c>
      <c r="E64" s="53" t="e">
        <f>HLOOKUP($B$41,output_collect!$C$4:$ZZ$59,55)/HLOOKUP(E41,output_collect!$C$4:$ZZ$59,55) - 1</f>
        <v>#N/A</v>
      </c>
      <c r="F64" s="53" t="e">
        <f>HLOOKUP($B$41,output_collect!$C$4:$ZZ$59,55)/HLOOKUP(F41,output_collect!$C$4:$ZZ$59,55) - 1</f>
        <v>#N/A</v>
      </c>
    </row>
    <row r="65" spans="1:6" x14ac:dyDescent="0.25">
      <c r="A65" s="52" t="s">
        <v>105</v>
      </c>
      <c r="B65" s="56"/>
      <c r="C65" s="53" t="e">
        <f>HLOOKUP($B$42,output_collect!$C$4:$ZZ$59,54)/HLOOKUP(C42,output_collect!$C$4:$ZZ$59,54) - 1</f>
        <v>#N/A</v>
      </c>
      <c r="D65" s="53" t="e">
        <f>HLOOKUP($B$42,output_collect!$C$4:$ZZ$59,54)/HLOOKUP(D42,output_collect!$C$4:$ZZ$59,54) - 1</f>
        <v>#N/A</v>
      </c>
      <c r="E65" s="53" t="e">
        <f>HLOOKUP($B$42,output_collect!$C$4:$ZZ$59,54)/HLOOKUP(E42,output_collect!$C$4:$ZZ$59,54) - 1</f>
        <v>#N/A</v>
      </c>
      <c r="F65" s="53" t="e">
        <f>HLOOKUP($B$42,output_collect!$C$4:$ZZ$59,54)/HLOOKUP(F42,output_collect!$C$4:$ZZ$59,54) - 1</f>
        <v>#N/A</v>
      </c>
    </row>
    <row r="66" spans="1:6" x14ac:dyDescent="0.25">
      <c r="A66" s="52" t="s">
        <v>106</v>
      </c>
      <c r="B66" s="55"/>
      <c r="C66" s="53" t="e">
        <f>HLOOKUP($B$42,output_collect!$C$4:$ZZ$59,55)/HLOOKUP(C42,output_collect!$C$4:$ZZ$59,55) - 1</f>
        <v>#N/A</v>
      </c>
      <c r="D66" s="53" t="e">
        <f>HLOOKUP($B$42,output_collect!$C$4:$ZZ$59,55)/HLOOKUP(D42,output_collect!$C$4:$ZZ$59,55) - 1</f>
        <v>#N/A</v>
      </c>
      <c r="E66" s="53" t="e">
        <f>HLOOKUP($B$42,output_collect!$C$4:$ZZ$59,55)/HLOOKUP(E42,output_collect!$C$4:$ZZ$59,55) - 1</f>
        <v>#N/A</v>
      </c>
      <c r="F66" s="53" t="e">
        <f>HLOOKUP($B$42,output_collect!$C$4:$ZZ$59,55)/HLOOKUP(F42,output_collect!$C$4:$ZZ$59,55) - 1</f>
        <v>#N/A</v>
      </c>
    </row>
    <row r="67" spans="1:6" ht="15.75" x14ac:dyDescent="0.25">
      <c r="A67" s="118" t="s">
        <v>102</v>
      </c>
      <c r="B67" s="118"/>
      <c r="C67" s="118"/>
      <c r="D67" s="118"/>
      <c r="E67" s="118"/>
      <c r="F67" s="118"/>
    </row>
    <row r="68" spans="1:6" x14ac:dyDescent="0.25">
      <c r="A68" s="83" t="s">
        <v>107</v>
      </c>
      <c r="B68" s="53" t="e">
        <f>HLOOKUP(B41,output_collect!$C$4:$ZZ$59,8)/3</f>
        <v>#N/A</v>
      </c>
      <c r="C68" s="53" t="e">
        <f>HLOOKUP(C41,output_collect!$C$4:$ZZ$59,8)/3</f>
        <v>#N/A</v>
      </c>
      <c r="D68" s="53" t="e">
        <f>HLOOKUP(D41,output_collect!$C$4:$ZZ$59,8)/3</f>
        <v>#N/A</v>
      </c>
      <c r="E68" s="53" t="e">
        <f>HLOOKUP(E41,output_collect!$C$4:$ZZ$59,8)/3</f>
        <v>#N/A</v>
      </c>
      <c r="F68" s="53" t="e">
        <f>HLOOKUP(F41,output_collect!$C$4:$ZZ$59,8,FALSE)/3</f>
        <v>#N/A</v>
      </c>
    </row>
    <row r="69" spans="1:6" x14ac:dyDescent="0.25">
      <c r="A69" s="83" t="s">
        <v>109</v>
      </c>
      <c r="B69" s="53" t="e">
        <f>HLOOKUP(B42,output_collect!$C$4:$ZZ$59,8)/3</f>
        <v>#N/A</v>
      </c>
      <c r="C69" s="53" t="e">
        <f>HLOOKUP(C42,output_collect!$C$4:$ZZ$59,8)/3</f>
        <v>#N/A</v>
      </c>
      <c r="D69" s="53" t="e">
        <f>HLOOKUP(D42,output_collect!$C$4:$ZZ$59,8)/3</f>
        <v>#N/A</v>
      </c>
      <c r="E69" s="53" t="e">
        <f>HLOOKUP(E42,output_collect!$C$4:$ZZ$59,8)/3</f>
        <v>#N/A</v>
      </c>
      <c r="F69" s="53" t="e">
        <f>HLOOKUP(F42,output_collect!$C$4:$ZZ$59,8,FALSE)/3</f>
        <v>#N/A</v>
      </c>
    </row>
    <row r="70" spans="1:6" x14ac:dyDescent="0.25">
      <c r="A70" s="52" t="s">
        <v>108</v>
      </c>
      <c r="B70" s="70" t="e">
        <f>(HLOOKUP(B41,output_collect!$C$4:$ZZ$59,50)+HLOOKUP(B41,output_collect!$C$4:$ZZ$59,51))/HLOOKUP(B41,output_collect!$C$4:$ZZ$59,27)</f>
        <v>#N/A</v>
      </c>
      <c r="C70" s="70" t="e">
        <f>(HLOOKUP(C41,output_collect!$C$4:$ZZ$59,50)+HLOOKUP(C41,output_collect!$C$4:$ZZ$59,51))/HLOOKUP(C41,output_collect!$C$4:$ZZ$59,27)</f>
        <v>#N/A</v>
      </c>
      <c r="D70" s="70" t="e">
        <f>(HLOOKUP(D41,output_collect!$C$4:$ZZ$59,50)+HLOOKUP(D41,output_collect!$C$4:$ZZ$59,51))/HLOOKUP(D41,output_collect!$C$4:$ZZ$59,27)</f>
        <v>#N/A</v>
      </c>
      <c r="E70" s="70" t="e">
        <f>(HLOOKUP(E41,output_collect!$C$4:$ZZ$59,50)+HLOOKUP(E41,output_collect!$C$4:$ZZ$59,51))/HLOOKUP(E41,output_collect!$C$4:$ZZ$59,27)</f>
        <v>#N/A</v>
      </c>
      <c r="F70" s="70" t="e">
        <f>(HLOOKUP(F41,output_collect!$C$4:$ZZ$59,50,FALSE)+HLOOKUP(F41,output_collect!$C$4:$ZZ$59,51,FALSE))/HLOOKUP(F41,output_collect!$C$4:$ZZ$59,27,FALSE)</f>
        <v>#N/A</v>
      </c>
    </row>
    <row r="71" spans="1:6" x14ac:dyDescent="0.25">
      <c r="A71" s="54" t="s">
        <v>110</v>
      </c>
      <c r="B71" s="55" t="e">
        <f>(HLOOKUP(B42,output_collect!$C$4:$ZZ$59,50)+HLOOKUP(B42,output_collect!$C$4:$ZZ$59,51))/HLOOKUP(B42,output_collect!$C$4:$ZZ$59,27)</f>
        <v>#N/A</v>
      </c>
      <c r="C71" s="55" t="e">
        <f>(HLOOKUP(C42,output_collect!$C$4:$ZZ$59,50)+HLOOKUP(C42,output_collect!$C$4:$ZZ$59,51))/HLOOKUP(C42,output_collect!$C$4:$ZZ$59,27)</f>
        <v>#N/A</v>
      </c>
      <c r="D71" s="55" t="e">
        <f>(HLOOKUP(D42,output_collect!$C$4:$ZZ$59,50)+HLOOKUP(D42,output_collect!$C$4:$ZZ$59,51))/HLOOKUP(D42,output_collect!$C$4:$ZZ$59,27)</f>
        <v>#N/A</v>
      </c>
      <c r="E71" s="55" t="e">
        <f>(HLOOKUP(E42,output_collect!$C$4:$ZZ$59,50)+HLOOKUP(E42,output_collect!$C$4:$ZZ$59,51))/HLOOKUP(E42,output_collect!$C$4:$ZZ$59,27)</f>
        <v>#N/A</v>
      </c>
      <c r="F71" s="55" t="e">
        <f>(HLOOKUP(F42,output_collect!$C$4:$ZZ$59,50,FALSE)+HLOOKUP(F42,output_collect!$C$4:$ZZ$59,51,FALSE))/HLOOKUP(F42,output_collect!$C$4:$ZZ$59,27,FALSE)</f>
        <v>#N/A</v>
      </c>
    </row>
  </sheetData>
  <mergeCells count="10">
    <mergeCell ref="A52:F52"/>
    <mergeCell ref="A57:F57"/>
    <mergeCell ref="A62:F62"/>
    <mergeCell ref="A67:F67"/>
    <mergeCell ref="A9:F9"/>
    <mergeCell ref="A14:F14"/>
    <mergeCell ref="A19:F19"/>
    <mergeCell ref="A24:F24"/>
    <mergeCell ref="A29:F29"/>
    <mergeCell ref="A47:F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output_collect</vt:lpstr>
      <vt:lpstr>readme</vt:lpstr>
      <vt:lpstr>Table3</vt:lpstr>
      <vt:lpstr>Table4</vt:lpstr>
      <vt:lpstr>Table5</vt:lpstr>
      <vt:lpstr>Table6</vt:lpstr>
      <vt:lpstr>Table7</vt:lpstr>
      <vt:lpstr>TableA2-A3</vt:lpstr>
      <vt:lpstr>TableA4-A5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Exler</dc:creator>
  <cp:lastModifiedBy>Florian Exler</cp:lastModifiedBy>
  <dcterms:created xsi:type="dcterms:W3CDTF">2015-06-05T18:19:34Z</dcterms:created>
  <dcterms:modified xsi:type="dcterms:W3CDTF">2024-10-08T13:20:03Z</dcterms:modified>
</cp:coreProperties>
</file>